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340" windowHeight="6795" tabRatio="732" activeTab="0"/>
  </bookViews>
  <sheets>
    <sheet name="Men's Epée" sheetId="1" r:id="rId1"/>
    <sheet name="Men's Foil" sheetId="2" r:id="rId2"/>
    <sheet name="Men's Saber" sheetId="3" r:id="rId3"/>
    <sheet name="Women's Epée" sheetId="4" r:id="rId4"/>
    <sheet name="Women's Foil" sheetId="5" r:id="rId5"/>
    <sheet name="Women's Saber" sheetId="6" r:id="rId6"/>
  </sheets>
  <externalReferences>
    <externalReference r:id="rId9"/>
  </externalReferences>
  <definedNames>
    <definedName name="JuniorCutoff">'[1]Point Tables'!$S$3</definedName>
    <definedName name="MinimumSr">'[1]Point Tables'!$S$16</definedName>
    <definedName name="PointTable">'[1]Point Tables'!$A$4:$O$262</definedName>
    <definedName name="PointTableHeader">'[1]Point Tables'!$B$2:$O$3</definedName>
    <definedName name="_xlnm.Print_Area" localSheetId="0">'Men''s Epée'!$A$4:$Q$104</definedName>
    <definedName name="_xlnm.Print_Area" localSheetId="1">'Men''s Foil'!$A$4:$Q$86</definedName>
    <definedName name="_xlnm.Print_Area" localSheetId="2">'Men''s Saber'!$A$4:$Q$101</definedName>
    <definedName name="_xlnm.Print_Area" localSheetId="3">'Women''s Epée'!$A$4:$Q$76</definedName>
    <definedName name="_xlnm.Print_Area" localSheetId="4">'Women''s Foil'!$A$4:$Q$74</definedName>
    <definedName name="_xlnm.Print_Area" localSheetId="5">'Women''s Saber'!$A$4:$Q$102</definedName>
    <definedName name="_xlnm.Print_Titles" localSheetId="0">'Men''s Epée'!$1:$1</definedName>
    <definedName name="_xlnm.Print_Titles" localSheetId="1">'Men''s Foil'!$1:$1</definedName>
    <definedName name="_xlnm.Print_Titles" localSheetId="2">'Men''s Saber'!$1:$1</definedName>
    <definedName name="_xlnm.Print_Titles" localSheetId="3">'Women''s Epée'!$1:$1</definedName>
    <definedName name="_xlnm.Print_Titles" localSheetId="4">'Women''s Foil'!$1:$1</definedName>
    <definedName name="_xlnm.Print_Titles" localSheetId="5">'Women''s Saber'!$1:$1</definedName>
    <definedName name="V40Cutoff">'[1]Point Tables'!$S$8</definedName>
    <definedName name="WUGStartCutoff">'[1]Point Tables'!$S$12</definedName>
    <definedName name="WUGStopCutoff">'[1]Point Tables'!$S$13</definedName>
  </definedNames>
  <calcPr fullCalcOnLoad="1"/>
</workbook>
</file>

<file path=xl/sharedStrings.xml><?xml version="1.0" encoding="utf-8"?>
<sst xmlns="http://schemas.openxmlformats.org/spreadsheetml/2006/main" count="1189" uniqueCount="431">
  <si>
    <t>NAME</t>
  </si>
  <si>
    <t>BTH</t>
  </si>
  <si>
    <t>TOTAL</t>
  </si>
  <si>
    <t>GRP II</t>
  </si>
  <si>
    <t>Other Group I Points</t>
  </si>
  <si>
    <t>np</t>
  </si>
  <si>
    <t>O'Loughlin, Chris</t>
  </si>
  <si>
    <t>Tausig, Justin</t>
  </si>
  <si>
    <t>Dragonetti, Walter E</t>
  </si>
  <si>
    <t>Masin, George</t>
  </si>
  <si>
    <t>Hansen, Eric</t>
  </si>
  <si>
    <t>Thompson, Soren</t>
  </si>
  <si>
    <t>Greenhouse, Rashaan</t>
  </si>
  <si>
    <t>Suchorski, Robert *</t>
  </si>
  <si>
    <t>Feldschuh, Michael</t>
  </si>
  <si>
    <t xml:space="preserve">Burke, Nathaniel </t>
  </si>
  <si>
    <t>Arenberg, Jeffrey</t>
  </si>
  <si>
    <t>Oshima, Marc</t>
  </si>
  <si>
    <t>Group I International Points</t>
  </si>
  <si>
    <t>Place</t>
  </si>
  <si>
    <t>Points</t>
  </si>
  <si>
    <t>Group II Points</t>
  </si>
  <si>
    <t>Dupree, Jedediah</t>
  </si>
  <si>
    <t>Chang, Timothy</t>
  </si>
  <si>
    <t>Chang, Gregory</t>
  </si>
  <si>
    <t>Tiomkin, Jonathan C</t>
  </si>
  <si>
    <t>Wood, Alex</t>
  </si>
  <si>
    <t>Gerberman, Steven</t>
  </si>
  <si>
    <t>Cho, Michael H</t>
  </si>
  <si>
    <t>Fisher, Joseph</t>
  </si>
  <si>
    <t>Cohen, Yale</t>
  </si>
  <si>
    <t>Breen, Jeffrey A</t>
  </si>
  <si>
    <t>Eriksen, Kevin S</t>
  </si>
  <si>
    <t>Durkan, Patrick</t>
  </si>
  <si>
    <t>Spencer-El, Akhnaten</t>
  </si>
  <si>
    <t>Smart, Keeth</t>
  </si>
  <si>
    <t>Raynaud, Herby</t>
  </si>
  <si>
    <t>Lee, Ivan J</t>
  </si>
  <si>
    <t>Mormando, Steve</t>
  </si>
  <si>
    <t>Rogers, Jason</t>
  </si>
  <si>
    <t>Phillips, Kim V</t>
  </si>
  <si>
    <t>Parker, G. Colin</t>
  </si>
  <si>
    <t>Whitmer, Darrin</t>
  </si>
  <si>
    <t>Anthony, Donald</t>
  </si>
  <si>
    <t>Friedman, Paul</t>
  </si>
  <si>
    <t>Morehouse, Timothy F</t>
  </si>
  <si>
    <t>Crompton, Andre</t>
  </si>
  <si>
    <t>Le, Nhi Lan</t>
  </si>
  <si>
    <t>Stevens, Arlene</t>
  </si>
  <si>
    <t>Burke, Jessica</t>
  </si>
  <si>
    <t>Miller, Margo</t>
  </si>
  <si>
    <t>Rudkin, Kate</t>
  </si>
  <si>
    <t>Leszko, Julia</t>
  </si>
  <si>
    <t>Tar, Marie-Sophie</t>
  </si>
  <si>
    <t>Ament, Andrea</t>
  </si>
  <si>
    <t>Fortune, Amy M</t>
  </si>
  <si>
    <t>Spilman, Elisabeth</t>
  </si>
  <si>
    <t>Campbell, Lindsay</t>
  </si>
  <si>
    <t>Obenchain, Janel</t>
  </si>
  <si>
    <t>Eim, Stephanie</t>
  </si>
  <si>
    <t>Walton, Kerry</t>
  </si>
  <si>
    <t>Chin, Meredith M</t>
  </si>
  <si>
    <t>Frye, Mary</t>
  </si>
  <si>
    <t>Mustilli, Nicole</t>
  </si>
  <si>
    <t>Leighton, Eleanor T</t>
  </si>
  <si>
    <t>Zimmermann, Felicia</t>
  </si>
  <si>
    <t>Smart, Erinn</t>
  </si>
  <si>
    <t>Zimmermann, Iris</t>
  </si>
  <si>
    <t>Jennings, Susan</t>
  </si>
  <si>
    <t>Jones, Melanie</t>
  </si>
  <si>
    <t>Cavan, Kathryn</t>
  </si>
  <si>
    <t>Leahy, Jacqueline</t>
  </si>
  <si>
    <t>Luitjen, Cassidy</t>
  </si>
  <si>
    <t>Bent, Cindy</t>
  </si>
  <si>
    <t>Cox, Bethany</t>
  </si>
  <si>
    <t>Thompson, Metta</t>
  </si>
  <si>
    <t>Thompson, Hannah</t>
  </si>
  <si>
    <t>Ferguson, Diane F</t>
  </si>
  <si>
    <t>Rostal, Mindy</t>
  </si>
  <si>
    <t>Falcon, Janet</t>
  </si>
  <si>
    <t>Cox, Susan</t>
  </si>
  <si>
    <t>Blount, Ellen M</t>
  </si>
  <si>
    <t>Florendo, Jessica S</t>
  </si>
  <si>
    <t>Stinetorf, Chloe</t>
  </si>
  <si>
    <t>Zagunis, Mariel</t>
  </si>
  <si>
    <t xml:space="preserve">Becker, Christine </t>
  </si>
  <si>
    <t>Latham, Christine</t>
  </si>
  <si>
    <t>Mustilli, Marisa</t>
  </si>
  <si>
    <t>Douville, Rebecca A</t>
  </si>
  <si>
    <t>Miller, Joy M</t>
  </si>
  <si>
    <t>Turner, Delia</t>
  </si>
  <si>
    <t>Gaillard, Amelia F</t>
  </si>
  <si>
    <t>Jacobson, Sada M</t>
  </si>
  <si>
    <t>Crane, Christina</t>
  </si>
  <si>
    <t>Milo, Destanie</t>
  </si>
  <si>
    <t>Clawson, Brian C</t>
  </si>
  <si>
    <t>Baldwin, Seth K</t>
  </si>
  <si>
    <t>Siebert, Kitzeln B</t>
  </si>
  <si>
    <t>McClain, Sean</t>
  </si>
  <si>
    <t>Lawrence, Maya A</t>
  </si>
  <si>
    <t>Wertz, Janet L</t>
  </si>
  <si>
    <t>Sachs, Elif Z</t>
  </si>
  <si>
    <t>Oldham Cox, Jennifer K</t>
  </si>
  <si>
    <t>Zagunis, Marten</t>
  </si>
  <si>
    <t>Efstathiou, Evangelos</t>
  </si>
  <si>
    <t>Mattern, Cody</t>
  </si>
  <si>
    <t>Findlay, Douglas D</t>
  </si>
  <si>
    <t>Douville, David</t>
  </si>
  <si>
    <t>Viviani, Jan</t>
  </si>
  <si>
    <t>Miloslavsky, Eli</t>
  </si>
  <si>
    <t>Sinkin, Gabriel M</t>
  </si>
  <si>
    <t>Krul, Alexander</t>
  </si>
  <si>
    <t>Momtselidze, Mike</t>
  </si>
  <si>
    <t>Dunn, Ryan M</t>
  </si>
  <si>
    <t>Sinkin, Jeremy C</t>
  </si>
  <si>
    <t>Stodola, Eric K</t>
  </si>
  <si>
    <t>Cross, Emily R</t>
  </si>
  <si>
    <t>Kotlan, Dely J</t>
  </si>
  <si>
    <t>Imaizumi, Vivian O</t>
  </si>
  <si>
    <t>Gelman, Julia</t>
  </si>
  <si>
    <t>Providenza, Valerie C</t>
  </si>
  <si>
    <t>Jacobson, Emily P</t>
  </si>
  <si>
    <t>Walsh, Sarah B</t>
  </si>
  <si>
    <t>Hagamen, Timothy H</t>
  </si>
  <si>
    <t>Jakus, David J</t>
  </si>
  <si>
    <t>Chernov, Ilan L</t>
  </si>
  <si>
    <t>Goellner, Nicholas</t>
  </si>
  <si>
    <t>Tolley, Toby</t>
  </si>
  <si>
    <t>Wells, Carly E</t>
  </si>
  <si>
    <t>Siebert, Syvenna B</t>
  </si>
  <si>
    <t>Ghattas, Patrick E</t>
  </si>
  <si>
    <t>Schlaepfer, Ian F</t>
  </si>
  <si>
    <t>Mosca, Nicholas</t>
  </si>
  <si>
    <t>Szarwark, Case</t>
  </si>
  <si>
    <t>Thorne, Tracey</t>
  </si>
  <si>
    <t>Dorf, Kristen M</t>
  </si>
  <si>
    <t>Delahanty, Amy</t>
  </si>
  <si>
    <t>Austin, Anne</t>
  </si>
  <si>
    <t>Hardt, Benjamin F</t>
  </si>
  <si>
    <t>Greenbaum, Isaac S</t>
  </si>
  <si>
    <t>Lobanenkov, Ilya *</t>
  </si>
  <si>
    <t>Suchorski, Kristin</t>
  </si>
  <si>
    <t>Kelsey, Seth</t>
  </si>
  <si>
    <t>Cheng, Gerald C</t>
  </si>
  <si>
    <t>Jacobson, Sada</t>
  </si>
  <si>
    <t>White, Marcus R</t>
  </si>
  <si>
    <t>Carpenter, John D</t>
  </si>
  <si>
    <t>Tam, Stephanie</t>
  </si>
  <si>
    <t>Bâby, Brendan</t>
  </si>
  <si>
    <t>Schirtz, Alli M</t>
  </si>
  <si>
    <t>Hohensee, Kira L</t>
  </si>
  <si>
    <t>Johnson, Raven</t>
  </si>
  <si>
    <t>Andrus, Curtis A</t>
  </si>
  <si>
    <t>Williams, James L</t>
  </si>
  <si>
    <t>Stearns, Matthew J</t>
  </si>
  <si>
    <t>Bhutta, Omar J</t>
  </si>
  <si>
    <t>Radu, Andrew</t>
  </si>
  <si>
    <t>Pasinkoff, Michael</t>
  </si>
  <si>
    <t>Miller, Chris J</t>
  </si>
  <si>
    <t>Mulholland, Mark</t>
  </si>
  <si>
    <t>Schneider, Ruth</t>
  </si>
  <si>
    <t>Castillo, Alejandro</t>
  </si>
  <si>
    <t>Roselli, Paolo*</t>
  </si>
  <si>
    <t>Lee, Ivan</t>
  </si>
  <si>
    <t>Gaillard, Amelia</t>
  </si>
  <si>
    <t>Moreau, John A</t>
  </si>
  <si>
    <t>Aufrichtig, Michael N</t>
  </si>
  <si>
    <t>French, Timothy L</t>
  </si>
  <si>
    <t>Lee, Martin J</t>
  </si>
  <si>
    <t>Rose, Julian M</t>
  </si>
  <si>
    <t>Fabricant, Matt</t>
  </si>
  <si>
    <t>Kirk-Gordon, Dimitri</t>
  </si>
  <si>
    <t>Greene, Joseph T</t>
  </si>
  <si>
    <t>Trimble, Mario T</t>
  </si>
  <si>
    <t>McGlade, Jasmine A</t>
  </si>
  <si>
    <t>Jemal, Alexis D</t>
  </si>
  <si>
    <t>Thanhouser, Bill</t>
  </si>
  <si>
    <t>Paul, Jason</t>
  </si>
  <si>
    <t>Parker, Sarah</t>
  </si>
  <si>
    <t>Snider, Jeff H</t>
  </si>
  <si>
    <t>Siebert, Neal B</t>
  </si>
  <si>
    <t>Manchen, Robert A</t>
  </si>
  <si>
    <t>Urbain, Kevin M</t>
  </si>
  <si>
    <t>Carter, Alphonzo E</t>
  </si>
  <si>
    <t>Burrill, Elia S</t>
  </si>
  <si>
    <t>Chimienti, Michele</t>
  </si>
  <si>
    <t>Rubin, Alexie A</t>
  </si>
  <si>
    <t>Moran, Sandra R</t>
  </si>
  <si>
    <t>Cox, Susan D</t>
  </si>
  <si>
    <t>Bralow, Robert</t>
  </si>
  <si>
    <t>Lyons, Michael J</t>
  </si>
  <si>
    <t>Vail, Bruce D</t>
  </si>
  <si>
    <t>Abdikulova, Zoya *</t>
  </si>
  <si>
    <t>Boorstin, Adam</t>
  </si>
  <si>
    <t>DeMatteis, Jared</t>
  </si>
  <si>
    <t>James, Kamara</t>
  </si>
  <si>
    <t>Kellner, Dan J</t>
  </si>
  <si>
    <t>Anderson, Meade H</t>
  </si>
  <si>
    <t>Millis, Thomas A</t>
  </si>
  <si>
    <t>Byerts, Keri L</t>
  </si>
  <si>
    <t>Ambort, Chelsea A</t>
  </si>
  <si>
    <t>Eiremo, Annika M</t>
  </si>
  <si>
    <t>Padula, Veronica M</t>
  </si>
  <si>
    <t>Wieronski, Katarzyna</t>
  </si>
  <si>
    <t>Katsoff, James D</t>
  </si>
  <si>
    <t>Lichten, Keith H</t>
  </si>
  <si>
    <t>Farr, Ian G</t>
  </si>
  <si>
    <t>Etropolski, Mihail V</t>
  </si>
  <si>
    <t>Friend, John F</t>
  </si>
  <si>
    <t>Igoe, Benjamin D</t>
  </si>
  <si>
    <t>Thottam, Elizabeth</t>
  </si>
  <si>
    <t>Glasser, Allison D</t>
  </si>
  <si>
    <t>Meyers, Brendan J</t>
  </si>
  <si>
    <t>Park, Rachael</t>
  </si>
  <si>
    <t>Bruckner, Raphael</t>
  </si>
  <si>
    <t>Jacobson, Emily</t>
  </si>
  <si>
    <t>Rake, Madeline O</t>
  </si>
  <si>
    <t>Smith, Dwayne</t>
  </si>
  <si>
    <t>Lyons, Michael</t>
  </si>
  <si>
    <t>Snider, Jeff</t>
  </si>
  <si>
    <t>Ranes, Evan A</t>
  </si>
  <si>
    <t>Stifel, Andrew</t>
  </si>
  <si>
    <t>Galligan, Michael J</t>
  </si>
  <si>
    <t>Zampieri, Joseph A</t>
  </si>
  <si>
    <t>Kosmala, Margaret C</t>
  </si>
  <si>
    <t>Wilder, Erica T</t>
  </si>
  <si>
    <t>Fox, Paige</t>
  </si>
  <si>
    <t>Koehler, Kelly A</t>
  </si>
  <si>
    <t>Fagan, Margaret *</t>
  </si>
  <si>
    <t>Bratton, Benjamin</t>
  </si>
  <si>
    <t>Patterson, Hunter</t>
  </si>
  <si>
    <t>Mendelsohn, Alisa</t>
  </si>
  <si>
    <t>Imaizumi, Vivian</t>
  </si>
  <si>
    <t>Yamashita, Taro</t>
  </si>
  <si>
    <t>Campi, Lisa</t>
  </si>
  <si>
    <t>Lawrence, Maya</t>
  </si>
  <si>
    <t>H</t>
  </si>
  <si>
    <t>Sr. Worlds, Nîmes, FRA, 10/28/01 (SF=2.000)</t>
  </si>
  <si>
    <t>Sr. Worlds, Nîmes, FRA, 10/27/01 (SF=2.000)</t>
  </si>
  <si>
    <t>Sr. Worlds, Nîmes, FRA, 10/29/01 (SF=2.000)</t>
  </si>
  <si>
    <t>Cross, Emily</t>
  </si>
  <si>
    <t>Anderson, Meade</t>
  </si>
  <si>
    <t>Dunn, Ryan</t>
  </si>
  <si>
    <t>Meyers, Brendan</t>
  </si>
  <si>
    <t>Sr. "B", London, GBR, 11/18/01 (SF=0.108)</t>
  </si>
  <si>
    <t>Dec 2001 DV1</t>
  </si>
  <si>
    <t>Dec 2001&lt;BR&gt;DV1&amp;nbsp;NAC</t>
  </si>
  <si>
    <t>Zucker, Noah L</t>
  </si>
  <si>
    <t>Cochrane Jr, Robert A</t>
  </si>
  <si>
    <t>Botenhagen, Michael C</t>
  </si>
  <si>
    <t>Weatherbie, Brett E</t>
  </si>
  <si>
    <t>Gold, Roni</t>
  </si>
  <si>
    <t>Minior, Daniel C</t>
  </si>
  <si>
    <t>Purcell, Justin H</t>
  </si>
  <si>
    <t>Douraghy, Jamie M</t>
  </si>
  <si>
    <t>Decker, Alexander</t>
  </si>
  <si>
    <t>Weber, Alan E</t>
  </si>
  <si>
    <t>Brooks, Ronald B</t>
  </si>
  <si>
    <t>Nazarov, Aleksandr</t>
  </si>
  <si>
    <t>Dubrovich, Gary</t>
  </si>
  <si>
    <t>Lence, Bryan R</t>
  </si>
  <si>
    <t>Crompton, Adam C</t>
  </si>
  <si>
    <t>Williams, Maximilian</t>
  </si>
  <si>
    <t>Angert, Adam T</t>
  </si>
  <si>
    <t>Golia, Michael J</t>
  </si>
  <si>
    <t>Runyan, Joshua B</t>
  </si>
  <si>
    <t>Miner, Parker J</t>
  </si>
  <si>
    <t>Toth, Istvan</t>
  </si>
  <si>
    <t>Jackson, Bryan C</t>
  </si>
  <si>
    <t>Cheris, Elaine</t>
  </si>
  <si>
    <t>Carnick, Anna N</t>
  </si>
  <si>
    <t>Schaffner, Michelle L</t>
  </si>
  <si>
    <t>Kehoe, Rebecca L</t>
  </si>
  <si>
    <t>Rurarz-Huygens, Livia D</t>
  </si>
  <si>
    <t>Cabot, Heath</t>
  </si>
  <si>
    <t>McCarthy, Margaret A</t>
  </si>
  <si>
    <t>Conley, Monica A</t>
  </si>
  <si>
    <t>Kantor, Rachel M</t>
  </si>
  <si>
    <t>Pestotnik, Katie M</t>
  </si>
  <si>
    <t>Maskell, Laura K</t>
  </si>
  <si>
    <t>Khouade, Irina</t>
  </si>
  <si>
    <t>Hiss, Sophie C</t>
  </si>
  <si>
    <t>Wang, Natalie</t>
  </si>
  <si>
    <t>Lee, Tammy A</t>
  </si>
  <si>
    <t>Willette, Doris E</t>
  </si>
  <si>
    <t>Walker, Lauren C</t>
  </si>
  <si>
    <t>Pillsbury, Dana M</t>
  </si>
  <si>
    <t>St. Jacques, Jill M</t>
  </si>
  <si>
    <t>Kaneshige, Christina</t>
  </si>
  <si>
    <t>Offerle, Judith A</t>
  </si>
  <si>
    <t>Thompson, Caitlin A</t>
  </si>
  <si>
    <t>Wright, Carolyn M</t>
  </si>
  <si>
    <t>Davis, Anika L</t>
  </si>
  <si>
    <t>Baratta, Emma L</t>
  </si>
  <si>
    <t>Goellner, Natasha L</t>
  </si>
  <si>
    <t>Tinter, Heidi G</t>
  </si>
  <si>
    <t>Schneider, Daria H</t>
  </si>
  <si>
    <t>Russanov, Boris B*</t>
  </si>
  <si>
    <t>Gritsaev, Konstantin*</t>
  </si>
  <si>
    <t>Solomon, Benjamin</t>
  </si>
  <si>
    <t>Zich, Matthew</t>
  </si>
  <si>
    <t>Jew-Lim, Sara</t>
  </si>
  <si>
    <t>Iagorashvili, Mary Beth</t>
  </si>
  <si>
    <t>Iagorashvili, Vakhtang*</t>
  </si>
  <si>
    <t>Brizard, Olivier T</t>
  </si>
  <si>
    <t>Spencer, Natasha A</t>
  </si>
  <si>
    <t>McCullough, Cari</t>
  </si>
  <si>
    <t>Sr. "A", Cairo, EGY, 1/15/02 (SF=1.408)</t>
  </si>
  <si>
    <t>Kellner, Dan</t>
  </si>
  <si>
    <t>Tiomkin, Jon</t>
  </si>
  <si>
    <t>Jan 2002 DV1</t>
  </si>
  <si>
    <t>Jan 2002&lt;BR&gt;DV1&amp;nbsp;NAC</t>
  </si>
  <si>
    <t>Sinkin, Ilana B</t>
  </si>
  <si>
    <t>Wang, Christina</t>
  </si>
  <si>
    <t>Nott, Adrienne M</t>
  </si>
  <si>
    <t>Emerson, Abby C</t>
  </si>
  <si>
    <t>Godoy, Karina A</t>
  </si>
  <si>
    <t>Hoffman, Joe</t>
  </si>
  <si>
    <t>Varney, John</t>
  </si>
  <si>
    <t>Krause, Daniel F</t>
  </si>
  <si>
    <t>Jones, William S</t>
  </si>
  <si>
    <t>Gross, Brian J</t>
  </si>
  <si>
    <t>Burke, Nat</t>
  </si>
  <si>
    <t>Phair, Meghan D</t>
  </si>
  <si>
    <t>Orlando, Amy E</t>
  </si>
  <si>
    <t>Greenebaum, Jennifer L</t>
  </si>
  <si>
    <t>Sullivan, Sharon L</t>
  </si>
  <si>
    <t>Hurley, Kelley A</t>
  </si>
  <si>
    <t>Courtright, Celia M</t>
  </si>
  <si>
    <t>Decker, Katharine</t>
  </si>
  <si>
    <t>Lin, John K</t>
  </si>
  <si>
    <t>Bednarski, Andrzej</t>
  </si>
  <si>
    <t>Ahn, Steve J</t>
  </si>
  <si>
    <t>Meehan, Justin X</t>
  </si>
  <si>
    <t>Berkowsky, Jonathan E</t>
  </si>
  <si>
    <t>Clement, Luther</t>
  </si>
  <si>
    <t>Sohn, Andrew</t>
  </si>
  <si>
    <t>Finkel, Kelsey</t>
  </si>
  <si>
    <t>Schibilia, Jesse A</t>
  </si>
  <si>
    <t>Bras, Alejandro</t>
  </si>
  <si>
    <t>Snyder, Derek</t>
  </si>
  <si>
    <t>Kershaw, Clinton E</t>
  </si>
  <si>
    <t>Yablon, Michael K</t>
  </si>
  <si>
    <t>Caven, Alex P</t>
  </si>
  <si>
    <t>Carbone, Matthew</t>
  </si>
  <si>
    <t>Berkowsky, Ronald W</t>
  </si>
  <si>
    <t>Phillips, Lauren</t>
  </si>
  <si>
    <t>Liebing, Rachel</t>
  </si>
  <si>
    <t>Zouein, Katherine</t>
  </si>
  <si>
    <t>Sherry, Katelyn P</t>
  </si>
  <si>
    <t>Schuepp, Tiga K</t>
  </si>
  <si>
    <t>Van Gieson, Lauren</t>
  </si>
  <si>
    <t>Sr. "A", London, GBR, 1/27/02 (SF=1.028)</t>
  </si>
  <si>
    <t>Morehouse, Tim</t>
  </si>
  <si>
    <t>Sr. "B", London, GBR, 1/26/02 (SF=0.076)</t>
  </si>
  <si>
    <t>Sr. "B", Cambridge, GBR, 1/12/02 (SF=0.056)</t>
  </si>
  <si>
    <t>Sr. "B", Paris, FRA, 1/20/02 (SF=1.118)</t>
  </si>
  <si>
    <t>Sr. "A", Lisbon, POR, 1/27/02 (SF=1.404 prelim)</t>
  </si>
  <si>
    <t>Sr. "A", Tallin, EST, 2/3/02 (SF=0.957)</t>
  </si>
  <si>
    <t>Sr. "A", Bonn, GER, 2/17/02 (SF=2.000)</t>
  </si>
  <si>
    <t>Sr. "A", La Coruña, ESP, 2/16/02 (SF=1.752)</t>
  </si>
  <si>
    <t>Sr. "A", Budapest, HUN, 3/2/02 (SF=2.000)</t>
  </si>
  <si>
    <t>Sr. "A", Budapest, HUN, 2/23/02 (SF=2.000)</t>
  </si>
  <si>
    <t>Sr. "A", Tauberbischofsheim, GER, 3/10/02 (SF=2.000)</t>
  </si>
  <si>
    <t>Sr. "A", Shanghai, CHN, 3/3/02 (SF=2.000)</t>
  </si>
  <si>
    <t>Sr. "A", Venice, ITA, 3/9/02 (SF=2.000)</t>
  </si>
  <si>
    <t>Dupree, Jed</t>
  </si>
  <si>
    <t>Sr. "A", Athens, GRE, 3/10/02 (SF=2.000)</t>
  </si>
  <si>
    <t>Sr. "A", Paris, FRA, 3/17/02 (SF=2.000)</t>
  </si>
  <si>
    <t>Sr. "A", Luxembourg, LUX, 3/17/02 (SF=1.038)</t>
  </si>
  <si>
    <t>Sr. "A", Salzburg, AUT, 3/17/02 (SF=1.705)</t>
  </si>
  <si>
    <t>Seal, Julie</t>
  </si>
  <si>
    <t>Sr. "A", Foggia, ITA, 3/17/02 (SF=2.000)</t>
  </si>
  <si>
    <t>Sr. "A", Montréal, CAN, 3/23/02 (SF=2.000)</t>
  </si>
  <si>
    <t>Sr. "A", Bogota, COL, 3/30/02 (SF=0.498)</t>
  </si>
  <si>
    <t>Sr. "A", Heidenheim, GER, 4/6/02 (SF=2.000)</t>
  </si>
  <si>
    <t>Team</t>
  </si>
  <si>
    <t>Not Tm</t>
  </si>
  <si>
    <t>Sr. "A", Prague, CZE, 2/3/02 (SF=1.748)</t>
  </si>
  <si>
    <t>Sr. "A", Bern, SUI, 4/14/02 (SF=1.471)</t>
  </si>
  <si>
    <t>Sr. "A", Bonn, GER, 4/21/02 (SF=2.000)</t>
  </si>
  <si>
    <t>G</t>
  </si>
  <si>
    <t>2002 DIV I</t>
  </si>
  <si>
    <t>2002&lt;BR&gt;DV1&amp;nbsp;NATLS</t>
  </si>
  <si>
    <t>Christie, Scott M</t>
  </si>
  <si>
    <t>Adjemian, Aaron E</t>
  </si>
  <si>
    <t>Jorge, Jeffrey S</t>
  </si>
  <si>
    <t>Dew, Eric</t>
  </si>
  <si>
    <t>Albers, Franziska</t>
  </si>
  <si>
    <t>Bell, Lisa D</t>
  </si>
  <si>
    <t>Burriesci, Matthew</t>
  </si>
  <si>
    <t>Sr. "A", Orléans, FRA, 4/27/02 (SF=2.000)</t>
  </si>
  <si>
    <t>Stetsiv, Oleg</t>
  </si>
  <si>
    <t>Ghattas, Patrick</t>
  </si>
  <si>
    <t>Hagamen, Timothy</t>
  </si>
  <si>
    <t>Golia, Michael</t>
  </si>
  <si>
    <t>Yilla, Ahmed</t>
  </si>
  <si>
    <t>Sr. "A", Peabody, MA, USA, 5/25/02 (SF=2.000)</t>
  </si>
  <si>
    <t>Sr. "A", Peabody, MA, USA, 5/25/02 (SF=1.975)</t>
  </si>
  <si>
    <t>Wright, Carolyn</t>
  </si>
  <si>
    <t>Lichten, Keith</t>
  </si>
  <si>
    <t>Sr. "A", Legnano, ITA, 5/12/02 (SF=1.754)</t>
  </si>
  <si>
    <t>Sr. "A", Malaga, ESP, 5/25/02 (SF=2.000)</t>
  </si>
  <si>
    <t>Sr. "A", Welkenraedt, BEL, 6/2/02 (SF=1.406)</t>
  </si>
  <si>
    <t>Sr. "A", Taiwan, TPE, 5/26/02 (SF=0.818)</t>
  </si>
  <si>
    <t>Carpenter, John</t>
  </si>
  <si>
    <t>Sr. "A", Espinho, POR, 5/18/02 (SF=2.000)</t>
  </si>
  <si>
    <t>Sr. "A", Mashad, IRI, 5/6/02 (SF=0.452)</t>
  </si>
  <si>
    <t>Sr. "A", Tauberbischofsheim, GER, 6/9/02 (SF=2.000)</t>
  </si>
  <si>
    <t>Vail, Bruce</t>
  </si>
  <si>
    <t>Sr. "B", Munich, GER, 5/11/02 (SF=0.077)</t>
  </si>
  <si>
    <t>Exum, Travis</t>
  </si>
  <si>
    <t>Sr. "B", Würzburg, GER, 6/8/02 (SF=0.069)</t>
  </si>
  <si>
    <t>Sr. "A", Stockholm, SWE, 6/9/02 (SF=1.398)</t>
  </si>
  <si>
    <t>Sr. "A", New York, NY, 6/15/02 (SF=2.000)</t>
  </si>
  <si>
    <t>Florendo, Jessica</t>
  </si>
  <si>
    <t>40T</t>
  </si>
  <si>
    <t>Flores, Daisy</t>
  </si>
  <si>
    <t>Sr. "A", Tunis, TUN, 6/16/02 (SF=1.158)</t>
  </si>
  <si>
    <t>Sr. "A", Havana, CUB, 6/23/02 (SF=1.355)</t>
  </si>
  <si>
    <t>Providenza, Valerie</t>
  </si>
  <si>
    <t>Jemal, Alexis</t>
  </si>
  <si>
    <t>Sr. "A", Havana, CUB, 6/21/02 (SF=2.000)</t>
  </si>
  <si>
    <t>Sr. "A", Havana, CUB, 6/25/02 (SF=1.212)</t>
  </si>
  <si>
    <t>Sr. "A", Havana, CUB, 6/24/02 (SF=0.770)</t>
  </si>
  <si>
    <t>Sr. "A", Havana, CUB, 6/24/02 (SF=2.000)</t>
  </si>
  <si>
    <t>Sr. "A", Havana, CUB, 6/21/02 (SF=1.471)</t>
  </si>
  <si>
    <t>Sr. "A", Carolina, PUR, 6/28/02 (SF=0.833)</t>
  </si>
  <si>
    <t>Sr. "A", Carolina, PUR, 6/28/02 (SF=0.921)</t>
  </si>
  <si>
    <t>Moyston, Boris</t>
  </si>
  <si>
    <t>Segal, Mark 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</si>
</sst>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00"/>
    <numFmt numFmtId="166" formatCode=".000"/>
  </numFmts>
  <fonts count="8">
    <font>
      <sz val="10"/>
      <name val="Arial"/>
      <family val="0"/>
    </font>
    <font>
      <sz val="8"/>
      <name val="Tahoma"/>
      <family val="2"/>
    </font>
    <font>
      <sz val="10"/>
      <name val="Arial Narrow"/>
      <family val="2"/>
    </font>
    <font>
      <sz val="10"/>
      <name val="Courier New"/>
      <family val="3"/>
    </font>
    <font>
      <b/>
      <u val="single"/>
      <sz val="10"/>
      <name val="Arial"/>
      <family val="2"/>
    </font>
    <font>
      <u val="single"/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0" fontId="2" fillId="0" borderId="1" xfId="0" applyFont="1" applyBorder="1" applyAlignment="1">
      <alignment horizontal="centerContinuous" vertical="top"/>
    </xf>
    <xf numFmtId="0" fontId="0" fillId="0" borderId="2" xfId="0" applyBorder="1" applyAlignment="1">
      <alignment horizontal="centerContinuous" vertical="top"/>
    </xf>
    <xf numFmtId="0" fontId="2" fillId="0" borderId="2" xfId="0" applyFont="1" applyBorder="1" applyAlignment="1">
      <alignment horizontal="centerContinuous" vertical="top"/>
    </xf>
    <xf numFmtId="0" fontId="2" fillId="0" borderId="0" xfId="0" applyFont="1" applyBorder="1" applyAlignment="1">
      <alignment horizontal="centerContinuous" vertical="top"/>
    </xf>
    <xf numFmtId="0" fontId="0" fillId="0" borderId="0" xfId="0" applyFont="1" applyAlignment="1">
      <alignment vertical="top"/>
    </xf>
    <xf numFmtId="0" fontId="2" fillId="0" borderId="1" xfId="0" applyFont="1" applyBorder="1" applyAlignment="1">
      <alignment horizontal="centerContinuous" vertical="top" wrapText="1"/>
    </xf>
    <xf numFmtId="0" fontId="0" fillId="0" borderId="0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3" fillId="0" borderId="0" xfId="0" applyFont="1" applyAlignment="1">
      <alignment/>
    </xf>
    <xf numFmtId="0" fontId="2" fillId="0" borderId="3" xfId="0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0" fontId="0" fillId="0" borderId="0" xfId="0" applyFont="1" applyAlignment="1">
      <alignment/>
    </xf>
    <xf numFmtId="164" fontId="3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Border="1" applyAlignment="1" quotePrefix="1">
      <alignment horizontal="centerContinuous"/>
    </xf>
    <xf numFmtId="166" fontId="0" fillId="0" borderId="0" xfId="0" applyNumberFormat="1" applyFont="1" applyBorder="1" applyAlignment="1">
      <alignment horizontal="centerContinuous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 vertical="top"/>
    </xf>
    <xf numFmtId="14" fontId="0" fillId="0" borderId="0" xfId="0" applyNumberFormat="1" applyFont="1" applyBorder="1" applyAlignment="1">
      <alignment/>
    </xf>
    <xf numFmtId="14" fontId="0" fillId="0" borderId="0" xfId="0" applyNumberFormat="1" applyFont="1" applyFill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Border="1" applyAlignment="1" quotePrefix="1">
      <alignment horizontal="centerContinuous"/>
    </xf>
    <xf numFmtId="166" fontId="0" fillId="0" borderId="0" xfId="0" applyNumberFormat="1" applyFont="1" applyBorder="1" applyAlignment="1">
      <alignment horizontal="centerContinuous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int Tables"/>
      <sheetName val="CountryCodes"/>
    </sheetNames>
    <sheetDataSet>
      <sheetData sheetId="0">
        <row r="2">
          <cell r="B2" t="str">
            <v>A</v>
          </cell>
          <cell r="C2" t="str">
            <v>B</v>
          </cell>
          <cell r="D2" t="str">
            <v>C</v>
          </cell>
          <cell r="E2" t="str">
            <v>D</v>
          </cell>
          <cell r="F2" t="str">
            <v>E</v>
          </cell>
          <cell r="G2" t="str">
            <v>F</v>
          </cell>
          <cell r="H2" t="str">
            <v>G</v>
          </cell>
          <cell r="I2" t="str">
            <v>H</v>
          </cell>
          <cell r="J2" t="str">
            <v>I</v>
          </cell>
          <cell r="K2" t="str">
            <v>J</v>
          </cell>
          <cell r="L2" t="str">
            <v>K</v>
          </cell>
          <cell r="M2" t="str">
            <v>L</v>
          </cell>
          <cell r="N2" t="str">
            <v>M</v>
          </cell>
          <cell r="O2" t="str">
            <v>N</v>
          </cell>
        </row>
        <row r="3"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  <cell r="O3">
            <v>15</v>
          </cell>
          <cell r="S3">
            <v>1983</v>
          </cell>
        </row>
        <row r="4">
          <cell r="A4">
            <v>1</v>
          </cell>
          <cell r="B4">
            <v>100</v>
          </cell>
          <cell r="C4">
            <v>200</v>
          </cell>
          <cell r="D4">
            <v>400</v>
          </cell>
          <cell r="E4">
            <v>400</v>
          </cell>
          <cell r="F4">
            <v>600</v>
          </cell>
          <cell r="G4">
            <v>600</v>
          </cell>
          <cell r="H4">
            <v>1000</v>
          </cell>
          <cell r="I4">
            <v>1000</v>
          </cell>
          <cell r="J4">
            <v>600</v>
          </cell>
          <cell r="K4">
            <v>400</v>
          </cell>
          <cell r="L4">
            <v>700</v>
          </cell>
          <cell r="M4">
            <v>800</v>
          </cell>
          <cell r="N4">
            <v>600</v>
          </cell>
          <cell r="O4">
            <v>1200</v>
          </cell>
        </row>
        <row r="5">
          <cell r="A5">
            <v>1.25</v>
          </cell>
          <cell r="B5">
            <v>100</v>
          </cell>
          <cell r="C5">
            <v>200</v>
          </cell>
          <cell r="D5">
            <v>400</v>
          </cell>
          <cell r="E5">
            <v>400</v>
          </cell>
          <cell r="F5">
            <v>600</v>
          </cell>
          <cell r="G5">
            <v>600</v>
          </cell>
          <cell r="H5">
            <v>1000</v>
          </cell>
          <cell r="I5">
            <v>1000</v>
          </cell>
          <cell r="J5">
            <v>600</v>
          </cell>
          <cell r="K5">
            <v>400</v>
          </cell>
          <cell r="L5">
            <v>700</v>
          </cell>
          <cell r="M5">
            <v>800</v>
          </cell>
          <cell r="N5">
            <v>600</v>
          </cell>
          <cell r="O5">
            <v>1200</v>
          </cell>
        </row>
        <row r="6">
          <cell r="A6">
            <v>1.33</v>
          </cell>
          <cell r="B6">
            <v>100</v>
          </cell>
          <cell r="C6">
            <v>200</v>
          </cell>
          <cell r="D6">
            <v>400</v>
          </cell>
          <cell r="E6">
            <v>400</v>
          </cell>
          <cell r="F6">
            <v>600</v>
          </cell>
          <cell r="G6">
            <v>600</v>
          </cell>
          <cell r="H6">
            <v>1000</v>
          </cell>
          <cell r="I6">
            <v>1000</v>
          </cell>
          <cell r="J6">
            <v>600</v>
          </cell>
          <cell r="K6">
            <v>400</v>
          </cell>
          <cell r="L6">
            <v>700</v>
          </cell>
          <cell r="M6">
            <v>800</v>
          </cell>
          <cell r="N6">
            <v>600</v>
          </cell>
          <cell r="O6">
            <v>1200</v>
          </cell>
        </row>
        <row r="7">
          <cell r="A7">
            <v>1.5</v>
          </cell>
          <cell r="B7">
            <v>100</v>
          </cell>
          <cell r="C7">
            <v>200</v>
          </cell>
          <cell r="D7">
            <v>400</v>
          </cell>
          <cell r="E7">
            <v>400</v>
          </cell>
          <cell r="F7">
            <v>600</v>
          </cell>
          <cell r="G7">
            <v>600</v>
          </cell>
          <cell r="H7">
            <v>1000</v>
          </cell>
          <cell r="I7">
            <v>1000</v>
          </cell>
          <cell r="J7">
            <v>600</v>
          </cell>
          <cell r="K7">
            <v>400</v>
          </cell>
          <cell r="L7">
            <v>700</v>
          </cell>
          <cell r="M7">
            <v>800</v>
          </cell>
          <cell r="N7">
            <v>600</v>
          </cell>
          <cell r="O7">
            <v>1200</v>
          </cell>
        </row>
        <row r="8">
          <cell r="A8">
            <v>2</v>
          </cell>
          <cell r="B8">
            <v>92</v>
          </cell>
          <cell r="C8">
            <v>184</v>
          </cell>
          <cell r="D8">
            <v>368</v>
          </cell>
          <cell r="E8">
            <v>368</v>
          </cell>
          <cell r="F8">
            <v>552</v>
          </cell>
          <cell r="G8">
            <v>552</v>
          </cell>
          <cell r="H8">
            <v>920</v>
          </cell>
          <cell r="I8">
            <v>925</v>
          </cell>
          <cell r="J8">
            <v>552</v>
          </cell>
          <cell r="K8">
            <v>368</v>
          </cell>
          <cell r="L8">
            <v>644</v>
          </cell>
          <cell r="M8">
            <v>736</v>
          </cell>
          <cell r="N8">
            <v>552</v>
          </cell>
          <cell r="O8">
            <v>1104</v>
          </cell>
          <cell r="S8">
            <v>22646</v>
          </cell>
        </row>
        <row r="9">
          <cell r="A9">
            <v>2.25</v>
          </cell>
          <cell r="B9">
            <v>81.75</v>
          </cell>
          <cell r="C9">
            <v>166</v>
          </cell>
          <cell r="D9">
            <v>332</v>
          </cell>
          <cell r="E9">
            <v>332</v>
          </cell>
          <cell r="F9">
            <v>498</v>
          </cell>
          <cell r="G9">
            <v>498</v>
          </cell>
          <cell r="H9">
            <v>830</v>
          </cell>
          <cell r="I9">
            <v>840</v>
          </cell>
          <cell r="J9">
            <v>498</v>
          </cell>
          <cell r="K9">
            <v>332</v>
          </cell>
          <cell r="L9">
            <v>581</v>
          </cell>
          <cell r="M9">
            <v>664</v>
          </cell>
          <cell r="N9">
            <v>498</v>
          </cell>
          <cell r="O9">
            <v>996</v>
          </cell>
        </row>
        <row r="10">
          <cell r="A10">
            <v>2.33</v>
          </cell>
          <cell r="B10">
            <v>85.67</v>
          </cell>
          <cell r="C10">
            <v>174.67</v>
          </cell>
          <cell r="D10">
            <v>349.33</v>
          </cell>
          <cell r="E10">
            <v>349.33</v>
          </cell>
          <cell r="F10">
            <v>524</v>
          </cell>
          <cell r="G10">
            <v>524</v>
          </cell>
          <cell r="H10">
            <v>873.33</v>
          </cell>
          <cell r="I10">
            <v>868.33</v>
          </cell>
          <cell r="J10">
            <v>524</v>
          </cell>
          <cell r="K10">
            <v>349.33</v>
          </cell>
          <cell r="L10">
            <v>611.33</v>
          </cell>
          <cell r="M10">
            <v>698.67</v>
          </cell>
          <cell r="N10">
            <v>524</v>
          </cell>
          <cell r="O10">
            <v>1048</v>
          </cell>
        </row>
        <row r="11">
          <cell r="A11">
            <v>2.5</v>
          </cell>
          <cell r="B11">
            <v>88.5</v>
          </cell>
          <cell r="C11">
            <v>177</v>
          </cell>
          <cell r="D11">
            <v>354</v>
          </cell>
          <cell r="E11">
            <v>354</v>
          </cell>
          <cell r="F11">
            <v>531</v>
          </cell>
          <cell r="G11">
            <v>531</v>
          </cell>
          <cell r="H11">
            <v>885</v>
          </cell>
          <cell r="I11">
            <v>882.5</v>
          </cell>
          <cell r="J11">
            <v>531</v>
          </cell>
          <cell r="K11">
            <v>354</v>
          </cell>
          <cell r="L11">
            <v>619.5</v>
          </cell>
          <cell r="M11">
            <v>708</v>
          </cell>
          <cell r="N11">
            <v>531</v>
          </cell>
          <cell r="O11">
            <v>1062</v>
          </cell>
        </row>
        <row r="12">
          <cell r="A12">
            <v>3</v>
          </cell>
          <cell r="B12">
            <v>85</v>
          </cell>
          <cell r="C12">
            <v>170</v>
          </cell>
          <cell r="D12">
            <v>340</v>
          </cell>
          <cell r="E12">
            <v>340</v>
          </cell>
          <cell r="F12">
            <v>510</v>
          </cell>
          <cell r="G12">
            <v>510</v>
          </cell>
          <cell r="H12">
            <v>850</v>
          </cell>
          <cell r="I12">
            <v>840</v>
          </cell>
          <cell r="J12">
            <v>510</v>
          </cell>
          <cell r="K12">
            <v>340</v>
          </cell>
          <cell r="L12">
            <v>595</v>
          </cell>
          <cell r="M12">
            <v>680</v>
          </cell>
          <cell r="N12">
            <v>510</v>
          </cell>
          <cell r="O12">
            <v>1020</v>
          </cell>
          <cell r="S12">
            <v>1975</v>
          </cell>
        </row>
        <row r="13">
          <cell r="A13">
            <v>3.25</v>
          </cell>
          <cell r="B13">
            <v>76.13</v>
          </cell>
          <cell r="C13">
            <v>154.75</v>
          </cell>
          <cell r="D13">
            <v>309.5</v>
          </cell>
          <cell r="E13">
            <v>309.5</v>
          </cell>
          <cell r="F13">
            <v>464.25</v>
          </cell>
          <cell r="G13">
            <v>464.25</v>
          </cell>
          <cell r="H13">
            <v>773.75</v>
          </cell>
          <cell r="I13">
            <v>792.5</v>
          </cell>
          <cell r="J13">
            <v>464.25</v>
          </cell>
          <cell r="K13">
            <v>309.5</v>
          </cell>
          <cell r="L13">
            <v>541.63</v>
          </cell>
          <cell r="M13">
            <v>619</v>
          </cell>
          <cell r="N13">
            <v>464.25</v>
          </cell>
          <cell r="O13">
            <v>928.5</v>
          </cell>
          <cell r="S13">
            <v>1985</v>
          </cell>
        </row>
        <row r="14">
          <cell r="A14">
            <v>3.33</v>
          </cell>
          <cell r="B14">
            <v>78.33</v>
          </cell>
          <cell r="C14">
            <v>160</v>
          </cell>
          <cell r="D14">
            <v>320</v>
          </cell>
          <cell r="E14">
            <v>320</v>
          </cell>
          <cell r="F14">
            <v>480</v>
          </cell>
          <cell r="G14">
            <v>480</v>
          </cell>
          <cell r="H14">
            <v>800</v>
          </cell>
          <cell r="I14">
            <v>811.67</v>
          </cell>
          <cell r="J14">
            <v>480</v>
          </cell>
          <cell r="K14">
            <v>320</v>
          </cell>
          <cell r="L14">
            <v>560</v>
          </cell>
          <cell r="M14">
            <v>640</v>
          </cell>
          <cell r="N14">
            <v>480</v>
          </cell>
          <cell r="O14">
            <v>960</v>
          </cell>
        </row>
        <row r="15">
          <cell r="A15">
            <v>3.5</v>
          </cell>
          <cell r="B15">
            <v>82.5</v>
          </cell>
          <cell r="C15">
            <v>170</v>
          </cell>
          <cell r="D15">
            <v>340</v>
          </cell>
          <cell r="E15">
            <v>340</v>
          </cell>
          <cell r="F15">
            <v>510</v>
          </cell>
          <cell r="G15">
            <v>510</v>
          </cell>
          <cell r="H15">
            <v>850</v>
          </cell>
          <cell r="I15">
            <v>840</v>
          </cell>
          <cell r="J15">
            <v>510</v>
          </cell>
          <cell r="K15">
            <v>340</v>
          </cell>
          <cell r="L15">
            <v>595</v>
          </cell>
          <cell r="M15">
            <v>680</v>
          </cell>
          <cell r="N15">
            <v>510</v>
          </cell>
          <cell r="O15">
            <v>1020</v>
          </cell>
        </row>
        <row r="16">
          <cell r="A16">
            <v>4</v>
          </cell>
          <cell r="B16">
            <v>80</v>
          </cell>
          <cell r="C16">
            <v>170</v>
          </cell>
          <cell r="D16">
            <v>340</v>
          </cell>
          <cell r="E16">
            <v>340</v>
          </cell>
          <cell r="F16">
            <v>510</v>
          </cell>
          <cell r="G16">
            <v>510</v>
          </cell>
          <cell r="H16">
            <v>850</v>
          </cell>
          <cell r="I16">
            <v>840</v>
          </cell>
          <cell r="J16">
            <v>510</v>
          </cell>
          <cell r="K16">
            <v>340</v>
          </cell>
          <cell r="L16">
            <v>595</v>
          </cell>
          <cell r="M16">
            <v>680</v>
          </cell>
          <cell r="N16">
            <v>510</v>
          </cell>
          <cell r="O16">
            <v>1020</v>
          </cell>
          <cell r="S16">
            <v>200</v>
          </cell>
        </row>
        <row r="17">
          <cell r="A17">
            <v>4.25</v>
          </cell>
          <cell r="B17">
            <v>72.13</v>
          </cell>
          <cell r="C17">
            <v>146.75</v>
          </cell>
          <cell r="D17">
            <v>293.5</v>
          </cell>
          <cell r="E17">
            <v>293.5</v>
          </cell>
          <cell r="F17">
            <v>440.25</v>
          </cell>
          <cell r="G17">
            <v>440.25</v>
          </cell>
          <cell r="H17">
            <v>733.75</v>
          </cell>
          <cell r="I17">
            <v>761.25</v>
          </cell>
          <cell r="J17">
            <v>440.25</v>
          </cell>
          <cell r="K17">
            <v>293.5</v>
          </cell>
          <cell r="L17">
            <v>513.63</v>
          </cell>
          <cell r="M17">
            <v>587</v>
          </cell>
          <cell r="N17">
            <v>440.25</v>
          </cell>
          <cell r="O17">
            <v>880.5</v>
          </cell>
        </row>
        <row r="18">
          <cell r="A18">
            <v>4.33</v>
          </cell>
          <cell r="B18">
            <v>73.17</v>
          </cell>
          <cell r="C18">
            <v>149.67</v>
          </cell>
          <cell r="D18">
            <v>299.33</v>
          </cell>
          <cell r="E18">
            <v>299.33</v>
          </cell>
          <cell r="F18">
            <v>449</v>
          </cell>
          <cell r="G18">
            <v>449</v>
          </cell>
          <cell r="H18">
            <v>748.33</v>
          </cell>
          <cell r="I18">
            <v>776.67</v>
          </cell>
          <cell r="J18">
            <v>449</v>
          </cell>
          <cell r="K18">
            <v>299.33</v>
          </cell>
          <cell r="L18">
            <v>523.83</v>
          </cell>
          <cell r="M18">
            <v>598.67</v>
          </cell>
          <cell r="N18">
            <v>449</v>
          </cell>
          <cell r="O18">
            <v>898</v>
          </cell>
        </row>
        <row r="19">
          <cell r="A19">
            <v>4.5</v>
          </cell>
          <cell r="B19">
            <v>75</v>
          </cell>
          <cell r="C19">
            <v>155</v>
          </cell>
          <cell r="D19">
            <v>310</v>
          </cell>
          <cell r="E19">
            <v>310</v>
          </cell>
          <cell r="F19">
            <v>465</v>
          </cell>
          <cell r="G19">
            <v>465</v>
          </cell>
          <cell r="H19">
            <v>775</v>
          </cell>
          <cell r="I19">
            <v>797.5</v>
          </cell>
          <cell r="J19">
            <v>465</v>
          </cell>
          <cell r="K19">
            <v>310</v>
          </cell>
          <cell r="L19">
            <v>542.5</v>
          </cell>
          <cell r="M19">
            <v>620</v>
          </cell>
          <cell r="N19">
            <v>465</v>
          </cell>
          <cell r="O19">
            <v>930</v>
          </cell>
        </row>
        <row r="20">
          <cell r="A20">
            <v>5</v>
          </cell>
          <cell r="B20">
            <v>70</v>
          </cell>
          <cell r="C20">
            <v>140</v>
          </cell>
          <cell r="D20">
            <v>280</v>
          </cell>
          <cell r="E20">
            <v>280</v>
          </cell>
          <cell r="F20">
            <v>420</v>
          </cell>
          <cell r="G20">
            <v>420</v>
          </cell>
          <cell r="H20">
            <v>700</v>
          </cell>
          <cell r="I20">
            <v>755</v>
          </cell>
          <cell r="J20">
            <v>420</v>
          </cell>
          <cell r="K20">
            <v>280</v>
          </cell>
          <cell r="L20">
            <v>490</v>
          </cell>
          <cell r="M20">
            <v>560</v>
          </cell>
          <cell r="N20">
            <v>420</v>
          </cell>
          <cell r="O20">
            <v>840</v>
          </cell>
        </row>
        <row r="21">
          <cell r="A21">
            <v>5.25</v>
          </cell>
          <cell r="B21">
            <v>69.25</v>
          </cell>
          <cell r="C21">
            <v>138.5</v>
          </cell>
          <cell r="D21">
            <v>277</v>
          </cell>
          <cell r="E21">
            <v>277</v>
          </cell>
          <cell r="F21">
            <v>415.5</v>
          </cell>
          <cell r="G21">
            <v>415.5</v>
          </cell>
          <cell r="H21">
            <v>692.5</v>
          </cell>
          <cell r="I21">
            <v>725</v>
          </cell>
          <cell r="J21">
            <v>415.5</v>
          </cell>
          <cell r="K21">
            <v>277</v>
          </cell>
          <cell r="L21">
            <v>484.75</v>
          </cell>
          <cell r="M21">
            <v>554</v>
          </cell>
          <cell r="N21">
            <v>415.5</v>
          </cell>
          <cell r="O21">
            <v>831</v>
          </cell>
        </row>
        <row r="22">
          <cell r="A22">
            <v>5.33</v>
          </cell>
          <cell r="B22">
            <v>69.5</v>
          </cell>
          <cell r="C22">
            <v>139</v>
          </cell>
          <cell r="D22">
            <v>278</v>
          </cell>
          <cell r="E22">
            <v>278</v>
          </cell>
          <cell r="F22">
            <v>417</v>
          </cell>
          <cell r="G22">
            <v>417</v>
          </cell>
          <cell r="H22">
            <v>695</v>
          </cell>
          <cell r="I22">
            <v>735</v>
          </cell>
          <cell r="J22">
            <v>417</v>
          </cell>
          <cell r="K22">
            <v>278</v>
          </cell>
          <cell r="L22">
            <v>486.5</v>
          </cell>
          <cell r="M22">
            <v>556</v>
          </cell>
          <cell r="N22">
            <v>417</v>
          </cell>
          <cell r="O22">
            <v>834</v>
          </cell>
        </row>
        <row r="23">
          <cell r="A23">
            <v>5.5</v>
          </cell>
          <cell r="B23">
            <v>69.75</v>
          </cell>
          <cell r="C23">
            <v>139.5</v>
          </cell>
          <cell r="D23">
            <v>279</v>
          </cell>
          <cell r="E23">
            <v>279</v>
          </cell>
          <cell r="F23">
            <v>418.5</v>
          </cell>
          <cell r="G23">
            <v>418.5</v>
          </cell>
          <cell r="H23">
            <v>697.5</v>
          </cell>
          <cell r="I23">
            <v>745</v>
          </cell>
          <cell r="J23">
            <v>418.5</v>
          </cell>
          <cell r="K23">
            <v>279</v>
          </cell>
          <cell r="L23">
            <v>488.25</v>
          </cell>
          <cell r="M23">
            <v>558</v>
          </cell>
          <cell r="N23">
            <v>418.5</v>
          </cell>
          <cell r="O23">
            <v>837</v>
          </cell>
        </row>
        <row r="24">
          <cell r="A24">
            <v>6</v>
          </cell>
          <cell r="B24">
            <v>69.5</v>
          </cell>
          <cell r="C24">
            <v>139</v>
          </cell>
          <cell r="D24">
            <v>278</v>
          </cell>
          <cell r="E24">
            <v>278</v>
          </cell>
          <cell r="F24">
            <v>417</v>
          </cell>
          <cell r="G24">
            <v>417</v>
          </cell>
          <cell r="H24">
            <v>695</v>
          </cell>
          <cell r="I24">
            <v>735</v>
          </cell>
          <cell r="J24">
            <v>417</v>
          </cell>
          <cell r="K24">
            <v>278</v>
          </cell>
          <cell r="L24">
            <v>486.5</v>
          </cell>
          <cell r="M24">
            <v>556</v>
          </cell>
          <cell r="N24">
            <v>417</v>
          </cell>
          <cell r="O24">
            <v>834</v>
          </cell>
        </row>
        <row r="25">
          <cell r="A25">
            <v>6.25</v>
          </cell>
          <cell r="B25">
            <v>65.13</v>
          </cell>
          <cell r="C25">
            <v>130.25</v>
          </cell>
          <cell r="D25">
            <v>260.5</v>
          </cell>
          <cell r="E25">
            <v>260.5</v>
          </cell>
          <cell r="F25">
            <v>390.75</v>
          </cell>
          <cell r="G25">
            <v>390.75</v>
          </cell>
          <cell r="H25">
            <v>651.25</v>
          </cell>
          <cell r="I25">
            <v>691.25</v>
          </cell>
          <cell r="J25">
            <v>390.75</v>
          </cell>
          <cell r="K25">
            <v>260.5</v>
          </cell>
          <cell r="L25">
            <v>455.88</v>
          </cell>
          <cell r="M25">
            <v>521</v>
          </cell>
          <cell r="N25">
            <v>390.75</v>
          </cell>
          <cell r="O25">
            <v>781.5</v>
          </cell>
        </row>
        <row r="26">
          <cell r="A26">
            <v>6.33</v>
          </cell>
          <cell r="B26">
            <v>69</v>
          </cell>
          <cell r="C26">
            <v>138</v>
          </cell>
          <cell r="D26">
            <v>276</v>
          </cell>
          <cell r="E26">
            <v>276</v>
          </cell>
          <cell r="F26">
            <v>414</v>
          </cell>
          <cell r="G26">
            <v>414</v>
          </cell>
          <cell r="H26">
            <v>690</v>
          </cell>
          <cell r="I26">
            <v>715</v>
          </cell>
          <cell r="J26">
            <v>414</v>
          </cell>
          <cell r="K26">
            <v>276</v>
          </cell>
          <cell r="L26">
            <v>483</v>
          </cell>
          <cell r="M26">
            <v>552</v>
          </cell>
          <cell r="N26">
            <v>414</v>
          </cell>
          <cell r="O26">
            <v>828</v>
          </cell>
        </row>
        <row r="27">
          <cell r="A27">
            <v>6.5</v>
          </cell>
          <cell r="B27">
            <v>69.25</v>
          </cell>
          <cell r="C27">
            <v>138.5</v>
          </cell>
          <cell r="D27">
            <v>277</v>
          </cell>
          <cell r="E27">
            <v>277</v>
          </cell>
          <cell r="F27">
            <v>415.5</v>
          </cell>
          <cell r="G27">
            <v>415.5</v>
          </cell>
          <cell r="H27">
            <v>692.5</v>
          </cell>
          <cell r="I27">
            <v>725</v>
          </cell>
          <cell r="J27">
            <v>415.5</v>
          </cell>
          <cell r="K27">
            <v>277</v>
          </cell>
          <cell r="L27">
            <v>484.75</v>
          </cell>
          <cell r="M27">
            <v>554</v>
          </cell>
          <cell r="N27">
            <v>415.5</v>
          </cell>
          <cell r="O27">
            <v>831</v>
          </cell>
        </row>
        <row r="28">
          <cell r="A28">
            <v>7</v>
          </cell>
          <cell r="B28">
            <v>69</v>
          </cell>
          <cell r="C28">
            <v>138</v>
          </cell>
          <cell r="D28">
            <v>276</v>
          </cell>
          <cell r="E28">
            <v>276</v>
          </cell>
          <cell r="F28">
            <v>414</v>
          </cell>
          <cell r="G28">
            <v>414</v>
          </cell>
          <cell r="H28">
            <v>690</v>
          </cell>
          <cell r="I28">
            <v>715</v>
          </cell>
          <cell r="J28">
            <v>414</v>
          </cell>
          <cell r="K28">
            <v>276</v>
          </cell>
          <cell r="L28">
            <v>483</v>
          </cell>
          <cell r="M28">
            <v>552</v>
          </cell>
          <cell r="N28">
            <v>414</v>
          </cell>
          <cell r="O28">
            <v>828</v>
          </cell>
        </row>
        <row r="29">
          <cell r="A29">
            <v>7.25</v>
          </cell>
          <cell r="B29">
            <v>61</v>
          </cell>
          <cell r="C29">
            <v>122</v>
          </cell>
          <cell r="D29">
            <v>244</v>
          </cell>
          <cell r="E29">
            <v>244.25</v>
          </cell>
          <cell r="F29">
            <v>366</v>
          </cell>
          <cell r="G29">
            <v>366.5</v>
          </cell>
          <cell r="H29">
            <v>610</v>
          </cell>
          <cell r="I29">
            <v>658.75</v>
          </cell>
          <cell r="J29">
            <v>366</v>
          </cell>
          <cell r="K29">
            <v>244</v>
          </cell>
          <cell r="L29">
            <v>427</v>
          </cell>
          <cell r="M29">
            <v>488</v>
          </cell>
          <cell r="N29">
            <v>366</v>
          </cell>
          <cell r="O29">
            <v>732</v>
          </cell>
        </row>
        <row r="30">
          <cell r="A30">
            <v>7.33</v>
          </cell>
          <cell r="B30">
            <v>63.67</v>
          </cell>
          <cell r="C30">
            <v>127.33</v>
          </cell>
          <cell r="D30">
            <v>254.67</v>
          </cell>
          <cell r="E30">
            <v>254.67</v>
          </cell>
          <cell r="F30">
            <v>382</v>
          </cell>
          <cell r="G30">
            <v>382</v>
          </cell>
          <cell r="H30">
            <v>636.67</v>
          </cell>
          <cell r="I30">
            <v>676.67</v>
          </cell>
          <cell r="J30">
            <v>382</v>
          </cell>
          <cell r="K30">
            <v>254.67</v>
          </cell>
          <cell r="L30">
            <v>445.67</v>
          </cell>
          <cell r="M30">
            <v>509.33</v>
          </cell>
          <cell r="N30">
            <v>382</v>
          </cell>
          <cell r="O30">
            <v>764</v>
          </cell>
        </row>
        <row r="31">
          <cell r="A31">
            <v>7.5</v>
          </cell>
          <cell r="B31">
            <v>68.75</v>
          </cell>
          <cell r="C31">
            <v>137.5</v>
          </cell>
          <cell r="D31">
            <v>275</v>
          </cell>
          <cell r="E31">
            <v>275</v>
          </cell>
          <cell r="F31">
            <v>412.5</v>
          </cell>
          <cell r="G31">
            <v>412.5</v>
          </cell>
          <cell r="H31">
            <v>687.5</v>
          </cell>
          <cell r="I31">
            <v>705</v>
          </cell>
          <cell r="J31">
            <v>412.5</v>
          </cell>
          <cell r="K31">
            <v>275</v>
          </cell>
          <cell r="L31">
            <v>481.25</v>
          </cell>
          <cell r="M31">
            <v>550</v>
          </cell>
          <cell r="N31">
            <v>412.5</v>
          </cell>
          <cell r="O31">
            <v>825</v>
          </cell>
        </row>
        <row r="32">
          <cell r="A32">
            <v>8</v>
          </cell>
          <cell r="B32">
            <v>68.5</v>
          </cell>
          <cell r="C32">
            <v>137</v>
          </cell>
          <cell r="D32">
            <v>274</v>
          </cell>
          <cell r="E32">
            <v>274</v>
          </cell>
          <cell r="F32">
            <v>411</v>
          </cell>
          <cell r="G32">
            <v>411</v>
          </cell>
          <cell r="H32">
            <v>685</v>
          </cell>
          <cell r="I32">
            <v>695</v>
          </cell>
          <cell r="J32">
            <v>411</v>
          </cell>
          <cell r="K32">
            <v>274</v>
          </cell>
          <cell r="L32">
            <v>479.5</v>
          </cell>
          <cell r="M32">
            <v>548</v>
          </cell>
          <cell r="N32">
            <v>411</v>
          </cell>
          <cell r="O32">
            <v>822</v>
          </cell>
        </row>
        <row r="33">
          <cell r="A33">
            <v>8.25</v>
          </cell>
          <cell r="B33">
            <v>56.88</v>
          </cell>
          <cell r="C33">
            <v>113.75</v>
          </cell>
          <cell r="D33">
            <v>227.5</v>
          </cell>
          <cell r="E33">
            <v>228.25</v>
          </cell>
          <cell r="F33">
            <v>341.25</v>
          </cell>
          <cell r="G33">
            <v>342.75</v>
          </cell>
          <cell r="H33">
            <v>568.75</v>
          </cell>
          <cell r="I33">
            <v>627.5</v>
          </cell>
          <cell r="J33">
            <v>341.25</v>
          </cell>
          <cell r="K33">
            <v>227.5</v>
          </cell>
          <cell r="L33">
            <v>398.13</v>
          </cell>
          <cell r="M33">
            <v>455</v>
          </cell>
          <cell r="N33">
            <v>341.25</v>
          </cell>
          <cell r="O33">
            <v>682.5</v>
          </cell>
        </row>
        <row r="34">
          <cell r="A34">
            <v>8.33</v>
          </cell>
          <cell r="B34">
            <v>58.33</v>
          </cell>
          <cell r="C34">
            <v>116.67</v>
          </cell>
          <cell r="D34">
            <v>233.33</v>
          </cell>
          <cell r="E34">
            <v>233.67</v>
          </cell>
          <cell r="F34">
            <v>350</v>
          </cell>
          <cell r="G34">
            <v>350.67</v>
          </cell>
          <cell r="H34">
            <v>583.33</v>
          </cell>
          <cell r="I34">
            <v>640</v>
          </cell>
          <cell r="J34">
            <v>350</v>
          </cell>
          <cell r="K34">
            <v>233.33</v>
          </cell>
          <cell r="L34">
            <v>408.33</v>
          </cell>
          <cell r="M34">
            <v>466.67</v>
          </cell>
          <cell r="N34">
            <v>350</v>
          </cell>
          <cell r="O34">
            <v>700</v>
          </cell>
        </row>
        <row r="35">
          <cell r="A35">
            <v>8.5</v>
          </cell>
          <cell r="B35">
            <v>61</v>
          </cell>
          <cell r="C35">
            <v>122</v>
          </cell>
          <cell r="D35">
            <v>244</v>
          </cell>
          <cell r="E35">
            <v>244</v>
          </cell>
          <cell r="F35">
            <v>366</v>
          </cell>
          <cell r="G35">
            <v>366</v>
          </cell>
          <cell r="H35">
            <v>610</v>
          </cell>
          <cell r="I35">
            <v>657.5</v>
          </cell>
          <cell r="J35">
            <v>366</v>
          </cell>
          <cell r="K35">
            <v>244</v>
          </cell>
          <cell r="L35">
            <v>427</v>
          </cell>
          <cell r="M35">
            <v>488</v>
          </cell>
          <cell r="N35">
            <v>366</v>
          </cell>
          <cell r="O35">
            <v>732</v>
          </cell>
        </row>
        <row r="36">
          <cell r="A36">
            <v>9</v>
          </cell>
          <cell r="B36">
            <v>53.5</v>
          </cell>
          <cell r="C36">
            <v>107</v>
          </cell>
          <cell r="D36">
            <v>214</v>
          </cell>
          <cell r="E36">
            <v>214</v>
          </cell>
          <cell r="F36">
            <v>321</v>
          </cell>
          <cell r="G36">
            <v>321</v>
          </cell>
          <cell r="H36">
            <v>535</v>
          </cell>
          <cell r="I36">
            <v>620</v>
          </cell>
          <cell r="J36">
            <v>321</v>
          </cell>
          <cell r="K36">
            <v>214</v>
          </cell>
          <cell r="L36">
            <v>374.5</v>
          </cell>
          <cell r="M36">
            <v>428</v>
          </cell>
          <cell r="N36">
            <v>321</v>
          </cell>
          <cell r="O36">
            <v>642</v>
          </cell>
        </row>
        <row r="37">
          <cell r="A37">
            <v>9.25</v>
          </cell>
          <cell r="B37">
            <v>52.75</v>
          </cell>
          <cell r="C37">
            <v>105.5</v>
          </cell>
          <cell r="D37">
            <v>211</v>
          </cell>
          <cell r="E37">
            <v>212.5</v>
          </cell>
          <cell r="F37">
            <v>316.5</v>
          </cell>
          <cell r="G37">
            <v>319.5</v>
          </cell>
          <cell r="H37">
            <v>527.5</v>
          </cell>
          <cell r="I37">
            <v>597.5</v>
          </cell>
          <cell r="J37">
            <v>316.5</v>
          </cell>
          <cell r="K37">
            <v>211</v>
          </cell>
          <cell r="L37">
            <v>369.25</v>
          </cell>
          <cell r="M37">
            <v>422</v>
          </cell>
          <cell r="N37">
            <v>316.5</v>
          </cell>
          <cell r="O37">
            <v>633</v>
          </cell>
        </row>
        <row r="38">
          <cell r="A38">
            <v>9.33</v>
          </cell>
          <cell r="B38">
            <v>53</v>
          </cell>
          <cell r="C38">
            <v>106</v>
          </cell>
          <cell r="D38">
            <v>212</v>
          </cell>
          <cell r="E38">
            <v>213</v>
          </cell>
          <cell r="F38">
            <v>318</v>
          </cell>
          <cell r="G38">
            <v>320</v>
          </cell>
          <cell r="H38">
            <v>530</v>
          </cell>
          <cell r="I38">
            <v>605</v>
          </cell>
          <cell r="J38">
            <v>318</v>
          </cell>
          <cell r="K38">
            <v>212</v>
          </cell>
          <cell r="L38">
            <v>371</v>
          </cell>
          <cell r="M38">
            <v>424</v>
          </cell>
          <cell r="N38">
            <v>318</v>
          </cell>
          <cell r="O38">
            <v>636</v>
          </cell>
        </row>
        <row r="39">
          <cell r="A39">
            <v>9.5</v>
          </cell>
          <cell r="B39">
            <v>53.25</v>
          </cell>
          <cell r="C39">
            <v>106.5</v>
          </cell>
          <cell r="D39">
            <v>213</v>
          </cell>
          <cell r="E39">
            <v>213.5</v>
          </cell>
          <cell r="F39">
            <v>319.5</v>
          </cell>
          <cell r="G39">
            <v>320.5</v>
          </cell>
          <cell r="H39">
            <v>532.5</v>
          </cell>
          <cell r="I39">
            <v>612.5</v>
          </cell>
          <cell r="J39">
            <v>319.5</v>
          </cell>
          <cell r="K39">
            <v>213</v>
          </cell>
          <cell r="L39">
            <v>372.75</v>
          </cell>
          <cell r="M39">
            <v>426</v>
          </cell>
          <cell r="N39">
            <v>319.5</v>
          </cell>
          <cell r="O39">
            <v>639</v>
          </cell>
        </row>
        <row r="40">
          <cell r="A40">
            <v>10</v>
          </cell>
          <cell r="B40">
            <v>53</v>
          </cell>
          <cell r="C40">
            <v>106</v>
          </cell>
          <cell r="D40">
            <v>212</v>
          </cell>
          <cell r="E40">
            <v>213</v>
          </cell>
          <cell r="F40">
            <v>318</v>
          </cell>
          <cell r="G40">
            <v>320</v>
          </cell>
          <cell r="H40">
            <v>530</v>
          </cell>
          <cell r="I40">
            <v>605</v>
          </cell>
          <cell r="J40">
            <v>318</v>
          </cell>
          <cell r="K40">
            <v>212</v>
          </cell>
          <cell r="L40">
            <v>371</v>
          </cell>
          <cell r="M40">
            <v>424</v>
          </cell>
          <cell r="N40">
            <v>318</v>
          </cell>
          <cell r="O40">
            <v>636</v>
          </cell>
        </row>
        <row r="41">
          <cell r="A41">
            <v>10.25</v>
          </cell>
          <cell r="B41">
            <v>52.25</v>
          </cell>
          <cell r="C41">
            <v>104.5</v>
          </cell>
          <cell r="D41">
            <v>209</v>
          </cell>
          <cell r="E41">
            <v>209.75</v>
          </cell>
          <cell r="F41">
            <v>313.5</v>
          </cell>
          <cell r="G41">
            <v>315</v>
          </cell>
          <cell r="H41">
            <v>522.5</v>
          </cell>
          <cell r="I41">
            <v>573.75</v>
          </cell>
          <cell r="J41">
            <v>313.5</v>
          </cell>
          <cell r="K41">
            <v>209</v>
          </cell>
          <cell r="L41">
            <v>365.75</v>
          </cell>
          <cell r="M41">
            <v>418</v>
          </cell>
          <cell r="N41">
            <v>313.5</v>
          </cell>
          <cell r="O41">
            <v>627</v>
          </cell>
        </row>
        <row r="42">
          <cell r="A42">
            <v>10.33</v>
          </cell>
          <cell r="B42">
            <v>52.5</v>
          </cell>
          <cell r="C42">
            <v>105</v>
          </cell>
          <cell r="D42">
            <v>210</v>
          </cell>
          <cell r="E42">
            <v>212</v>
          </cell>
          <cell r="F42">
            <v>315</v>
          </cell>
          <cell r="G42">
            <v>319</v>
          </cell>
          <cell r="H42">
            <v>525</v>
          </cell>
          <cell r="I42">
            <v>590</v>
          </cell>
          <cell r="J42">
            <v>315</v>
          </cell>
          <cell r="K42">
            <v>210</v>
          </cell>
          <cell r="L42">
            <v>367.5</v>
          </cell>
          <cell r="M42">
            <v>420</v>
          </cell>
          <cell r="N42">
            <v>315</v>
          </cell>
          <cell r="O42">
            <v>630</v>
          </cell>
        </row>
        <row r="43">
          <cell r="A43">
            <v>10.5</v>
          </cell>
          <cell r="B43">
            <v>52.75</v>
          </cell>
          <cell r="C43">
            <v>105.5</v>
          </cell>
          <cell r="D43">
            <v>211</v>
          </cell>
          <cell r="E43">
            <v>212.5</v>
          </cell>
          <cell r="F43">
            <v>316.5</v>
          </cell>
          <cell r="G43">
            <v>319.5</v>
          </cell>
          <cell r="H43">
            <v>527.5</v>
          </cell>
          <cell r="I43">
            <v>597.5</v>
          </cell>
          <cell r="J43">
            <v>316.5</v>
          </cell>
          <cell r="K43">
            <v>211</v>
          </cell>
          <cell r="L43">
            <v>369.25</v>
          </cell>
          <cell r="M43">
            <v>422</v>
          </cell>
          <cell r="N43">
            <v>316.5</v>
          </cell>
          <cell r="O43">
            <v>633</v>
          </cell>
        </row>
        <row r="44">
          <cell r="A44">
            <v>11</v>
          </cell>
          <cell r="B44">
            <v>52.5</v>
          </cell>
          <cell r="C44">
            <v>105</v>
          </cell>
          <cell r="D44">
            <v>210</v>
          </cell>
          <cell r="E44">
            <v>212</v>
          </cell>
          <cell r="F44">
            <v>315</v>
          </cell>
          <cell r="G44">
            <v>319</v>
          </cell>
          <cell r="H44">
            <v>525</v>
          </cell>
          <cell r="I44">
            <v>590</v>
          </cell>
          <cell r="J44">
            <v>315</v>
          </cell>
          <cell r="K44">
            <v>210</v>
          </cell>
          <cell r="L44">
            <v>367.5</v>
          </cell>
          <cell r="M44">
            <v>420</v>
          </cell>
          <cell r="N44">
            <v>315</v>
          </cell>
          <cell r="O44">
            <v>630</v>
          </cell>
        </row>
        <row r="45">
          <cell r="A45">
            <v>11.25</v>
          </cell>
          <cell r="B45">
            <v>51.75</v>
          </cell>
          <cell r="C45">
            <v>103.5</v>
          </cell>
          <cell r="D45">
            <v>207</v>
          </cell>
          <cell r="E45">
            <v>207</v>
          </cell>
          <cell r="F45">
            <v>310.5</v>
          </cell>
          <cell r="G45">
            <v>310.5</v>
          </cell>
          <cell r="H45">
            <v>517.5</v>
          </cell>
          <cell r="I45">
            <v>550</v>
          </cell>
          <cell r="J45">
            <v>310.5</v>
          </cell>
          <cell r="K45">
            <v>207</v>
          </cell>
          <cell r="L45">
            <v>362.25</v>
          </cell>
          <cell r="M45">
            <v>414</v>
          </cell>
          <cell r="N45">
            <v>310.5</v>
          </cell>
          <cell r="O45">
            <v>621</v>
          </cell>
        </row>
        <row r="46">
          <cell r="A46">
            <v>11.33</v>
          </cell>
          <cell r="B46">
            <v>52</v>
          </cell>
          <cell r="C46">
            <v>104</v>
          </cell>
          <cell r="D46">
            <v>208</v>
          </cell>
          <cell r="E46">
            <v>208.67</v>
          </cell>
          <cell r="F46">
            <v>312</v>
          </cell>
          <cell r="G46">
            <v>313.33</v>
          </cell>
          <cell r="H46">
            <v>520</v>
          </cell>
          <cell r="I46">
            <v>563.33</v>
          </cell>
          <cell r="J46">
            <v>312</v>
          </cell>
          <cell r="K46">
            <v>208</v>
          </cell>
          <cell r="L46">
            <v>364</v>
          </cell>
          <cell r="M46">
            <v>416</v>
          </cell>
          <cell r="N46">
            <v>312</v>
          </cell>
          <cell r="O46">
            <v>624</v>
          </cell>
        </row>
        <row r="47">
          <cell r="A47">
            <v>11.5</v>
          </cell>
          <cell r="B47">
            <v>52.25</v>
          </cell>
          <cell r="C47">
            <v>104.5</v>
          </cell>
          <cell r="D47">
            <v>209</v>
          </cell>
          <cell r="E47">
            <v>211.5</v>
          </cell>
          <cell r="F47">
            <v>313.5</v>
          </cell>
          <cell r="G47">
            <v>318.5</v>
          </cell>
          <cell r="H47">
            <v>522.5</v>
          </cell>
          <cell r="I47">
            <v>582.5</v>
          </cell>
          <cell r="J47">
            <v>313.5</v>
          </cell>
          <cell r="K47">
            <v>209</v>
          </cell>
          <cell r="L47">
            <v>365.75</v>
          </cell>
          <cell r="M47">
            <v>418</v>
          </cell>
          <cell r="N47">
            <v>313.5</v>
          </cell>
          <cell r="O47">
            <v>627</v>
          </cell>
        </row>
        <row r="48">
          <cell r="A48">
            <v>12</v>
          </cell>
          <cell r="B48">
            <v>52</v>
          </cell>
          <cell r="C48">
            <v>104</v>
          </cell>
          <cell r="D48">
            <v>208</v>
          </cell>
          <cell r="E48">
            <v>211</v>
          </cell>
          <cell r="F48">
            <v>312</v>
          </cell>
          <cell r="G48">
            <v>318</v>
          </cell>
          <cell r="H48">
            <v>520</v>
          </cell>
          <cell r="I48">
            <v>575</v>
          </cell>
          <cell r="J48">
            <v>312</v>
          </cell>
          <cell r="K48">
            <v>208</v>
          </cell>
          <cell r="L48">
            <v>364</v>
          </cell>
          <cell r="M48">
            <v>416</v>
          </cell>
          <cell r="N48">
            <v>312</v>
          </cell>
          <cell r="O48">
            <v>624</v>
          </cell>
        </row>
        <row r="49">
          <cell r="A49">
            <v>12.25</v>
          </cell>
          <cell r="B49">
            <v>51.25</v>
          </cell>
          <cell r="C49">
            <v>102.5</v>
          </cell>
          <cell r="D49">
            <v>205</v>
          </cell>
          <cell r="E49">
            <v>204.25</v>
          </cell>
          <cell r="F49">
            <v>307.5</v>
          </cell>
          <cell r="G49">
            <v>306</v>
          </cell>
          <cell r="H49">
            <v>512.5</v>
          </cell>
          <cell r="I49">
            <v>526.25</v>
          </cell>
          <cell r="J49">
            <v>307.5</v>
          </cell>
          <cell r="K49">
            <v>205</v>
          </cell>
          <cell r="L49">
            <v>358.75</v>
          </cell>
          <cell r="M49">
            <v>410</v>
          </cell>
          <cell r="N49">
            <v>307.5</v>
          </cell>
          <cell r="O49">
            <v>615</v>
          </cell>
        </row>
        <row r="50">
          <cell r="A50">
            <v>12.33</v>
          </cell>
          <cell r="B50">
            <v>51.5</v>
          </cell>
          <cell r="C50">
            <v>103</v>
          </cell>
          <cell r="D50">
            <v>206</v>
          </cell>
          <cell r="E50">
            <v>205.33</v>
          </cell>
          <cell r="F50">
            <v>309</v>
          </cell>
          <cell r="G50">
            <v>307.67</v>
          </cell>
          <cell r="H50">
            <v>515</v>
          </cell>
          <cell r="I50">
            <v>536.67</v>
          </cell>
          <cell r="J50">
            <v>309</v>
          </cell>
          <cell r="K50">
            <v>206</v>
          </cell>
          <cell r="L50">
            <v>360.5</v>
          </cell>
          <cell r="M50">
            <v>412</v>
          </cell>
          <cell r="N50">
            <v>309</v>
          </cell>
          <cell r="O50">
            <v>618</v>
          </cell>
        </row>
        <row r="51">
          <cell r="A51">
            <v>12.5</v>
          </cell>
          <cell r="B51">
            <v>51.75</v>
          </cell>
          <cell r="C51">
            <v>103.5</v>
          </cell>
          <cell r="D51">
            <v>207</v>
          </cell>
          <cell r="E51">
            <v>207</v>
          </cell>
          <cell r="F51">
            <v>310.5</v>
          </cell>
          <cell r="G51">
            <v>310.5</v>
          </cell>
          <cell r="H51">
            <v>517.5</v>
          </cell>
          <cell r="I51">
            <v>550</v>
          </cell>
          <cell r="J51">
            <v>310.5</v>
          </cell>
          <cell r="K51">
            <v>207</v>
          </cell>
          <cell r="L51">
            <v>362.25</v>
          </cell>
          <cell r="M51">
            <v>414</v>
          </cell>
          <cell r="N51">
            <v>310.5</v>
          </cell>
          <cell r="O51">
            <v>621</v>
          </cell>
        </row>
        <row r="52">
          <cell r="A52">
            <v>13</v>
          </cell>
          <cell r="B52">
            <v>51.5</v>
          </cell>
          <cell r="C52">
            <v>103</v>
          </cell>
          <cell r="D52">
            <v>206</v>
          </cell>
          <cell r="E52">
            <v>203</v>
          </cell>
          <cell r="F52">
            <v>309</v>
          </cell>
          <cell r="G52">
            <v>303</v>
          </cell>
          <cell r="H52">
            <v>515</v>
          </cell>
          <cell r="I52">
            <v>525</v>
          </cell>
          <cell r="J52">
            <v>309</v>
          </cell>
          <cell r="K52">
            <v>206</v>
          </cell>
          <cell r="L52">
            <v>360.5</v>
          </cell>
          <cell r="M52">
            <v>412</v>
          </cell>
          <cell r="N52">
            <v>309</v>
          </cell>
          <cell r="O52">
            <v>618</v>
          </cell>
        </row>
        <row r="53">
          <cell r="A53">
            <v>13.25</v>
          </cell>
          <cell r="B53">
            <v>50.75</v>
          </cell>
          <cell r="C53">
            <v>101.5</v>
          </cell>
          <cell r="D53">
            <v>203</v>
          </cell>
          <cell r="E53">
            <v>201.5</v>
          </cell>
          <cell r="F53">
            <v>304.5</v>
          </cell>
          <cell r="G53">
            <v>301.5</v>
          </cell>
          <cell r="H53">
            <v>507.5</v>
          </cell>
          <cell r="I53">
            <v>502.5</v>
          </cell>
          <cell r="J53">
            <v>304.5</v>
          </cell>
          <cell r="K53">
            <v>203</v>
          </cell>
          <cell r="L53">
            <v>355.25</v>
          </cell>
          <cell r="M53">
            <v>406</v>
          </cell>
          <cell r="N53">
            <v>304.5</v>
          </cell>
          <cell r="O53">
            <v>609</v>
          </cell>
        </row>
        <row r="54">
          <cell r="A54">
            <v>13.33</v>
          </cell>
          <cell r="B54">
            <v>51</v>
          </cell>
          <cell r="C54">
            <v>102</v>
          </cell>
          <cell r="D54">
            <v>204</v>
          </cell>
          <cell r="E54">
            <v>202</v>
          </cell>
          <cell r="F54">
            <v>306</v>
          </cell>
          <cell r="G54">
            <v>302</v>
          </cell>
          <cell r="H54">
            <v>510</v>
          </cell>
          <cell r="I54">
            <v>510</v>
          </cell>
          <cell r="J54">
            <v>306</v>
          </cell>
          <cell r="K54">
            <v>204</v>
          </cell>
          <cell r="L54">
            <v>357</v>
          </cell>
          <cell r="M54">
            <v>408</v>
          </cell>
          <cell r="N54">
            <v>306</v>
          </cell>
          <cell r="O54">
            <v>612</v>
          </cell>
        </row>
        <row r="55">
          <cell r="A55">
            <v>13.5</v>
          </cell>
          <cell r="B55">
            <v>51.25</v>
          </cell>
          <cell r="C55">
            <v>102.5</v>
          </cell>
          <cell r="D55">
            <v>205</v>
          </cell>
          <cell r="E55">
            <v>202.5</v>
          </cell>
          <cell r="F55">
            <v>307.5</v>
          </cell>
          <cell r="G55">
            <v>302.5</v>
          </cell>
          <cell r="H55">
            <v>512.5</v>
          </cell>
          <cell r="I55">
            <v>517.5</v>
          </cell>
          <cell r="J55">
            <v>307.5</v>
          </cell>
          <cell r="K55">
            <v>205</v>
          </cell>
          <cell r="L55">
            <v>358.75</v>
          </cell>
          <cell r="M55">
            <v>410</v>
          </cell>
          <cell r="N55">
            <v>307.5</v>
          </cell>
          <cell r="O55">
            <v>615</v>
          </cell>
        </row>
        <row r="56">
          <cell r="A56">
            <v>14</v>
          </cell>
          <cell r="B56">
            <v>51</v>
          </cell>
          <cell r="C56">
            <v>102</v>
          </cell>
          <cell r="D56">
            <v>204</v>
          </cell>
          <cell r="E56">
            <v>202</v>
          </cell>
          <cell r="F56">
            <v>306</v>
          </cell>
          <cell r="G56">
            <v>302</v>
          </cell>
          <cell r="H56">
            <v>510</v>
          </cell>
          <cell r="I56">
            <v>510</v>
          </cell>
          <cell r="J56">
            <v>306</v>
          </cell>
          <cell r="K56">
            <v>204</v>
          </cell>
          <cell r="L56">
            <v>357</v>
          </cell>
          <cell r="M56">
            <v>408</v>
          </cell>
          <cell r="N56">
            <v>306</v>
          </cell>
          <cell r="O56">
            <v>612</v>
          </cell>
        </row>
        <row r="57">
          <cell r="A57">
            <v>14.25</v>
          </cell>
          <cell r="B57">
            <v>46.63</v>
          </cell>
          <cell r="C57">
            <v>93.25</v>
          </cell>
          <cell r="D57">
            <v>186.5</v>
          </cell>
          <cell r="E57">
            <v>185.75</v>
          </cell>
          <cell r="F57">
            <v>279.75</v>
          </cell>
          <cell r="G57">
            <v>278.25</v>
          </cell>
          <cell r="H57">
            <v>466.25</v>
          </cell>
          <cell r="I57">
            <v>475</v>
          </cell>
          <cell r="J57">
            <v>279.75</v>
          </cell>
          <cell r="K57">
            <v>186.5</v>
          </cell>
          <cell r="L57">
            <v>326.38</v>
          </cell>
          <cell r="M57">
            <v>373</v>
          </cell>
          <cell r="N57">
            <v>279.75</v>
          </cell>
          <cell r="O57">
            <v>559.5</v>
          </cell>
        </row>
        <row r="58">
          <cell r="A58">
            <v>14.33</v>
          </cell>
          <cell r="B58">
            <v>50.5</v>
          </cell>
          <cell r="C58">
            <v>101</v>
          </cell>
          <cell r="D58">
            <v>202</v>
          </cell>
          <cell r="E58">
            <v>201</v>
          </cell>
          <cell r="F58">
            <v>303</v>
          </cell>
          <cell r="G58">
            <v>301</v>
          </cell>
          <cell r="H58">
            <v>505</v>
          </cell>
          <cell r="I58">
            <v>495</v>
          </cell>
          <cell r="J58">
            <v>303</v>
          </cell>
          <cell r="K58">
            <v>202</v>
          </cell>
          <cell r="L58">
            <v>353.5</v>
          </cell>
          <cell r="M58">
            <v>404</v>
          </cell>
          <cell r="N58">
            <v>303</v>
          </cell>
          <cell r="O58">
            <v>606</v>
          </cell>
        </row>
        <row r="59">
          <cell r="A59">
            <v>14.5</v>
          </cell>
          <cell r="B59">
            <v>50.75</v>
          </cell>
          <cell r="C59">
            <v>101.5</v>
          </cell>
          <cell r="D59">
            <v>203</v>
          </cell>
          <cell r="E59">
            <v>201.5</v>
          </cell>
          <cell r="F59">
            <v>304.5</v>
          </cell>
          <cell r="G59">
            <v>301.5</v>
          </cell>
          <cell r="H59">
            <v>507.5</v>
          </cell>
          <cell r="I59">
            <v>502.5</v>
          </cell>
          <cell r="J59">
            <v>304.5</v>
          </cell>
          <cell r="K59">
            <v>203</v>
          </cell>
          <cell r="L59">
            <v>355.25</v>
          </cell>
          <cell r="M59">
            <v>406</v>
          </cell>
          <cell r="N59">
            <v>304.5</v>
          </cell>
          <cell r="O59">
            <v>609</v>
          </cell>
        </row>
        <row r="60">
          <cell r="A60">
            <v>15</v>
          </cell>
          <cell r="B60">
            <v>50.5</v>
          </cell>
          <cell r="C60">
            <v>101</v>
          </cell>
          <cell r="D60">
            <v>202</v>
          </cell>
          <cell r="E60">
            <v>201</v>
          </cell>
          <cell r="F60">
            <v>303</v>
          </cell>
          <cell r="G60">
            <v>301</v>
          </cell>
          <cell r="H60">
            <v>505</v>
          </cell>
          <cell r="I60">
            <v>495</v>
          </cell>
          <cell r="J60">
            <v>303</v>
          </cell>
          <cell r="K60">
            <v>202</v>
          </cell>
          <cell r="L60">
            <v>353.5</v>
          </cell>
          <cell r="M60">
            <v>404</v>
          </cell>
          <cell r="N60">
            <v>303</v>
          </cell>
          <cell r="O60">
            <v>606</v>
          </cell>
        </row>
        <row r="61">
          <cell r="A61">
            <v>15.25</v>
          </cell>
          <cell r="B61">
            <v>42.5</v>
          </cell>
          <cell r="C61">
            <v>85</v>
          </cell>
          <cell r="D61">
            <v>170</v>
          </cell>
          <cell r="E61">
            <v>170</v>
          </cell>
          <cell r="F61">
            <v>255</v>
          </cell>
          <cell r="G61">
            <v>255</v>
          </cell>
          <cell r="H61">
            <v>425</v>
          </cell>
          <cell r="I61">
            <v>450</v>
          </cell>
          <cell r="J61">
            <v>255</v>
          </cell>
          <cell r="K61">
            <v>170</v>
          </cell>
          <cell r="L61">
            <v>297.5</v>
          </cell>
          <cell r="M61">
            <v>340</v>
          </cell>
          <cell r="N61">
            <v>255</v>
          </cell>
          <cell r="O61">
            <v>510</v>
          </cell>
        </row>
        <row r="62">
          <cell r="A62">
            <v>15.33</v>
          </cell>
          <cell r="B62">
            <v>45.17</v>
          </cell>
          <cell r="C62">
            <v>90.33</v>
          </cell>
          <cell r="D62">
            <v>180.67</v>
          </cell>
          <cell r="E62">
            <v>180.33</v>
          </cell>
          <cell r="F62">
            <v>271</v>
          </cell>
          <cell r="G62">
            <v>270.33</v>
          </cell>
          <cell r="H62">
            <v>451.67</v>
          </cell>
          <cell r="I62">
            <v>463.33</v>
          </cell>
          <cell r="J62">
            <v>271</v>
          </cell>
          <cell r="K62">
            <v>180.67</v>
          </cell>
          <cell r="L62">
            <v>316.17</v>
          </cell>
          <cell r="M62">
            <v>361.33</v>
          </cell>
          <cell r="N62">
            <v>271</v>
          </cell>
          <cell r="O62">
            <v>542</v>
          </cell>
        </row>
        <row r="63">
          <cell r="A63">
            <v>15.5</v>
          </cell>
          <cell r="B63">
            <v>50.25</v>
          </cell>
          <cell r="C63">
            <v>100.5</v>
          </cell>
          <cell r="D63">
            <v>201</v>
          </cell>
          <cell r="E63">
            <v>200.5</v>
          </cell>
          <cell r="F63">
            <v>301.5</v>
          </cell>
          <cell r="G63">
            <v>300.5</v>
          </cell>
          <cell r="H63">
            <v>502.5</v>
          </cell>
          <cell r="I63">
            <v>487.5</v>
          </cell>
          <cell r="J63">
            <v>301.5</v>
          </cell>
          <cell r="K63">
            <v>201</v>
          </cell>
          <cell r="L63">
            <v>351.75</v>
          </cell>
          <cell r="M63">
            <v>402</v>
          </cell>
          <cell r="N63">
            <v>301.5</v>
          </cell>
          <cell r="O63">
            <v>603</v>
          </cell>
        </row>
        <row r="64">
          <cell r="A64">
            <v>16</v>
          </cell>
          <cell r="B64">
            <v>50</v>
          </cell>
          <cell r="C64">
            <v>100</v>
          </cell>
          <cell r="D64">
            <v>200</v>
          </cell>
          <cell r="E64">
            <v>200</v>
          </cell>
          <cell r="F64">
            <v>300</v>
          </cell>
          <cell r="G64">
            <v>300</v>
          </cell>
          <cell r="H64">
            <v>500</v>
          </cell>
          <cell r="I64">
            <v>480</v>
          </cell>
          <cell r="J64">
            <v>300</v>
          </cell>
          <cell r="K64">
            <v>200</v>
          </cell>
          <cell r="L64">
            <v>350</v>
          </cell>
          <cell r="M64">
            <v>400</v>
          </cell>
          <cell r="N64">
            <v>300</v>
          </cell>
          <cell r="O64">
            <v>600</v>
          </cell>
        </row>
        <row r="65">
          <cell r="A65">
            <v>16.25</v>
          </cell>
          <cell r="B65">
            <v>38.38</v>
          </cell>
          <cell r="C65">
            <v>76.75</v>
          </cell>
          <cell r="D65">
            <v>153.5</v>
          </cell>
          <cell r="E65">
            <v>154.25</v>
          </cell>
          <cell r="F65">
            <v>230.25</v>
          </cell>
          <cell r="G65">
            <v>231.75</v>
          </cell>
          <cell r="H65">
            <v>383.75</v>
          </cell>
          <cell r="I65">
            <v>427.5</v>
          </cell>
          <cell r="J65">
            <v>230.25</v>
          </cell>
          <cell r="K65">
            <v>153.5</v>
          </cell>
          <cell r="L65">
            <v>268.63</v>
          </cell>
          <cell r="M65">
            <v>307</v>
          </cell>
          <cell r="N65">
            <v>230.25</v>
          </cell>
          <cell r="O65">
            <v>460.5</v>
          </cell>
        </row>
        <row r="66">
          <cell r="A66">
            <v>16.33</v>
          </cell>
          <cell r="B66">
            <v>39.83</v>
          </cell>
          <cell r="C66">
            <v>79.67</v>
          </cell>
          <cell r="D66">
            <v>159.33</v>
          </cell>
          <cell r="E66">
            <v>159.67</v>
          </cell>
          <cell r="F66">
            <v>239</v>
          </cell>
          <cell r="G66">
            <v>239.67</v>
          </cell>
          <cell r="H66">
            <v>398.33</v>
          </cell>
          <cell r="I66">
            <v>435</v>
          </cell>
          <cell r="J66">
            <v>239</v>
          </cell>
          <cell r="K66">
            <v>159.33</v>
          </cell>
          <cell r="L66">
            <v>278.83</v>
          </cell>
          <cell r="M66">
            <v>318.67</v>
          </cell>
          <cell r="N66">
            <v>239</v>
          </cell>
          <cell r="O66">
            <v>478</v>
          </cell>
        </row>
        <row r="67">
          <cell r="A67">
            <v>16.5</v>
          </cell>
          <cell r="B67">
            <v>42.5</v>
          </cell>
          <cell r="C67">
            <v>85</v>
          </cell>
          <cell r="D67">
            <v>170</v>
          </cell>
          <cell r="E67">
            <v>170</v>
          </cell>
          <cell r="F67">
            <v>255</v>
          </cell>
          <cell r="G67">
            <v>255</v>
          </cell>
          <cell r="H67">
            <v>425</v>
          </cell>
          <cell r="I67">
            <v>447.5</v>
          </cell>
          <cell r="J67">
            <v>255</v>
          </cell>
          <cell r="K67">
            <v>170</v>
          </cell>
          <cell r="L67">
            <v>297.5</v>
          </cell>
          <cell r="M67">
            <v>340</v>
          </cell>
          <cell r="N67">
            <v>255</v>
          </cell>
          <cell r="O67">
            <v>510</v>
          </cell>
        </row>
        <row r="68">
          <cell r="A68">
            <v>17</v>
          </cell>
          <cell r="B68">
            <v>35</v>
          </cell>
          <cell r="C68">
            <v>70</v>
          </cell>
          <cell r="D68">
            <v>140</v>
          </cell>
          <cell r="E68">
            <v>140</v>
          </cell>
          <cell r="F68">
            <v>210</v>
          </cell>
          <cell r="G68">
            <v>210</v>
          </cell>
          <cell r="H68">
            <v>350</v>
          </cell>
          <cell r="I68">
            <v>415</v>
          </cell>
          <cell r="J68">
            <v>210</v>
          </cell>
          <cell r="K68">
            <v>140</v>
          </cell>
          <cell r="L68">
            <v>245</v>
          </cell>
          <cell r="M68">
            <v>280</v>
          </cell>
          <cell r="N68">
            <v>210</v>
          </cell>
          <cell r="O68">
            <v>420</v>
          </cell>
        </row>
        <row r="69">
          <cell r="A69">
            <v>17.25</v>
          </cell>
          <cell r="B69">
            <v>34.25</v>
          </cell>
          <cell r="C69">
            <v>68.5</v>
          </cell>
          <cell r="D69">
            <v>137</v>
          </cell>
          <cell r="E69">
            <v>138.5</v>
          </cell>
          <cell r="F69">
            <v>205.5</v>
          </cell>
          <cell r="G69">
            <v>208.5</v>
          </cell>
          <cell r="H69">
            <v>342.5</v>
          </cell>
          <cell r="I69">
            <v>407.5</v>
          </cell>
          <cell r="J69">
            <v>205.5</v>
          </cell>
          <cell r="K69">
            <v>137</v>
          </cell>
          <cell r="L69">
            <v>239.75</v>
          </cell>
          <cell r="M69">
            <v>274</v>
          </cell>
          <cell r="N69">
            <v>205.5</v>
          </cell>
          <cell r="O69">
            <v>411</v>
          </cell>
        </row>
        <row r="70">
          <cell r="A70">
            <v>17.33</v>
          </cell>
          <cell r="B70">
            <v>34.5</v>
          </cell>
          <cell r="C70">
            <v>69</v>
          </cell>
          <cell r="D70">
            <v>138</v>
          </cell>
          <cell r="E70">
            <v>139</v>
          </cell>
          <cell r="F70">
            <v>207</v>
          </cell>
          <cell r="G70">
            <v>209</v>
          </cell>
          <cell r="H70">
            <v>345</v>
          </cell>
          <cell r="I70">
            <v>410</v>
          </cell>
          <cell r="J70">
            <v>207</v>
          </cell>
          <cell r="K70">
            <v>138</v>
          </cell>
          <cell r="L70">
            <v>241.5</v>
          </cell>
          <cell r="M70">
            <v>276</v>
          </cell>
          <cell r="N70">
            <v>207</v>
          </cell>
          <cell r="O70">
            <v>414</v>
          </cell>
        </row>
        <row r="71">
          <cell r="A71">
            <v>17.5</v>
          </cell>
          <cell r="B71">
            <v>34.75</v>
          </cell>
          <cell r="C71">
            <v>69.5</v>
          </cell>
          <cell r="D71">
            <v>139</v>
          </cell>
          <cell r="E71">
            <v>139.5</v>
          </cell>
          <cell r="F71">
            <v>208.5</v>
          </cell>
          <cell r="G71">
            <v>209.5</v>
          </cell>
          <cell r="H71">
            <v>347.5</v>
          </cell>
          <cell r="I71">
            <v>412.5</v>
          </cell>
          <cell r="J71">
            <v>208.5</v>
          </cell>
          <cell r="K71">
            <v>139</v>
          </cell>
          <cell r="L71">
            <v>243.25</v>
          </cell>
          <cell r="M71">
            <v>278</v>
          </cell>
          <cell r="N71">
            <v>208.5</v>
          </cell>
          <cell r="O71">
            <v>417</v>
          </cell>
        </row>
        <row r="72">
          <cell r="A72">
            <v>18</v>
          </cell>
          <cell r="B72">
            <v>34.5</v>
          </cell>
          <cell r="C72">
            <v>69</v>
          </cell>
          <cell r="D72">
            <v>138</v>
          </cell>
          <cell r="E72">
            <v>139</v>
          </cell>
          <cell r="F72">
            <v>207</v>
          </cell>
          <cell r="G72">
            <v>209</v>
          </cell>
          <cell r="H72">
            <v>345</v>
          </cell>
          <cell r="I72">
            <v>410</v>
          </cell>
          <cell r="J72">
            <v>207</v>
          </cell>
          <cell r="K72">
            <v>138</v>
          </cell>
          <cell r="L72">
            <v>241.5</v>
          </cell>
          <cell r="M72">
            <v>276</v>
          </cell>
          <cell r="N72">
            <v>207</v>
          </cell>
          <cell r="O72">
            <v>414</v>
          </cell>
        </row>
        <row r="73">
          <cell r="A73">
            <v>18.25</v>
          </cell>
          <cell r="B73">
            <v>33.75</v>
          </cell>
          <cell r="C73">
            <v>67.5</v>
          </cell>
          <cell r="D73">
            <v>135</v>
          </cell>
          <cell r="E73">
            <v>137.5</v>
          </cell>
          <cell r="F73">
            <v>202.5</v>
          </cell>
          <cell r="G73">
            <v>207.5</v>
          </cell>
          <cell r="H73">
            <v>337.5</v>
          </cell>
          <cell r="I73">
            <v>402.5</v>
          </cell>
          <cell r="J73">
            <v>202.5</v>
          </cell>
          <cell r="K73">
            <v>135</v>
          </cell>
          <cell r="L73">
            <v>236.25</v>
          </cell>
          <cell r="M73">
            <v>270</v>
          </cell>
          <cell r="N73">
            <v>202.5</v>
          </cell>
          <cell r="O73">
            <v>405</v>
          </cell>
        </row>
        <row r="74">
          <cell r="A74">
            <v>18.33</v>
          </cell>
          <cell r="B74">
            <v>34</v>
          </cell>
          <cell r="C74">
            <v>68</v>
          </cell>
          <cell r="D74">
            <v>136</v>
          </cell>
          <cell r="E74">
            <v>138</v>
          </cell>
          <cell r="F74">
            <v>204</v>
          </cell>
          <cell r="G74">
            <v>208</v>
          </cell>
          <cell r="H74">
            <v>340</v>
          </cell>
          <cell r="I74">
            <v>405</v>
          </cell>
          <cell r="J74">
            <v>204</v>
          </cell>
          <cell r="K74">
            <v>136</v>
          </cell>
          <cell r="L74">
            <v>238</v>
          </cell>
          <cell r="M74">
            <v>272</v>
          </cell>
          <cell r="N74">
            <v>204</v>
          </cell>
          <cell r="O74">
            <v>408</v>
          </cell>
        </row>
        <row r="75">
          <cell r="A75">
            <v>18.5</v>
          </cell>
          <cell r="B75">
            <v>34.25</v>
          </cell>
          <cell r="C75">
            <v>68.5</v>
          </cell>
          <cell r="D75">
            <v>137</v>
          </cell>
          <cell r="E75">
            <v>138.5</v>
          </cell>
          <cell r="F75">
            <v>205.5</v>
          </cell>
          <cell r="G75">
            <v>208.5</v>
          </cell>
          <cell r="H75">
            <v>342.5</v>
          </cell>
          <cell r="I75">
            <v>407.5</v>
          </cell>
          <cell r="J75">
            <v>205.5</v>
          </cell>
          <cell r="K75">
            <v>137</v>
          </cell>
          <cell r="L75">
            <v>239.75</v>
          </cell>
          <cell r="M75">
            <v>274</v>
          </cell>
          <cell r="N75">
            <v>205.5</v>
          </cell>
          <cell r="O75">
            <v>411</v>
          </cell>
        </row>
        <row r="76">
          <cell r="A76">
            <v>19</v>
          </cell>
          <cell r="B76">
            <v>34</v>
          </cell>
          <cell r="C76">
            <v>68</v>
          </cell>
          <cell r="D76">
            <v>136</v>
          </cell>
          <cell r="E76">
            <v>138</v>
          </cell>
          <cell r="F76">
            <v>204</v>
          </cell>
          <cell r="G76">
            <v>208</v>
          </cell>
          <cell r="H76">
            <v>340</v>
          </cell>
          <cell r="I76">
            <v>405</v>
          </cell>
          <cell r="J76">
            <v>204</v>
          </cell>
          <cell r="K76">
            <v>136</v>
          </cell>
          <cell r="L76">
            <v>238</v>
          </cell>
          <cell r="M76">
            <v>272</v>
          </cell>
          <cell r="N76">
            <v>204</v>
          </cell>
          <cell r="O76">
            <v>408</v>
          </cell>
        </row>
        <row r="77">
          <cell r="A77">
            <v>19.25</v>
          </cell>
          <cell r="B77">
            <v>33.25</v>
          </cell>
          <cell r="C77">
            <v>66.5</v>
          </cell>
          <cell r="D77">
            <v>133</v>
          </cell>
          <cell r="E77">
            <v>136.5</v>
          </cell>
          <cell r="F77">
            <v>199.5</v>
          </cell>
          <cell r="G77">
            <v>206.5</v>
          </cell>
          <cell r="H77">
            <v>332.5</v>
          </cell>
          <cell r="I77">
            <v>397.5</v>
          </cell>
          <cell r="J77">
            <v>199.5</v>
          </cell>
          <cell r="K77">
            <v>133</v>
          </cell>
          <cell r="L77">
            <v>232.75</v>
          </cell>
          <cell r="M77">
            <v>266</v>
          </cell>
          <cell r="N77">
            <v>199.5</v>
          </cell>
          <cell r="O77">
            <v>399</v>
          </cell>
        </row>
        <row r="78">
          <cell r="A78">
            <v>19.33</v>
          </cell>
          <cell r="B78">
            <v>33.5</v>
          </cell>
          <cell r="C78">
            <v>67</v>
          </cell>
          <cell r="D78">
            <v>134</v>
          </cell>
          <cell r="E78">
            <v>137</v>
          </cell>
          <cell r="F78">
            <v>201</v>
          </cell>
          <cell r="G78">
            <v>207</v>
          </cell>
          <cell r="H78">
            <v>335</v>
          </cell>
          <cell r="I78">
            <v>400</v>
          </cell>
          <cell r="J78">
            <v>201</v>
          </cell>
          <cell r="K78">
            <v>134</v>
          </cell>
          <cell r="L78">
            <v>234.5</v>
          </cell>
          <cell r="M78">
            <v>268</v>
          </cell>
          <cell r="N78">
            <v>201</v>
          </cell>
          <cell r="O78">
            <v>402</v>
          </cell>
        </row>
        <row r="79">
          <cell r="A79">
            <v>19.5</v>
          </cell>
          <cell r="B79">
            <v>33.75</v>
          </cell>
          <cell r="C79">
            <v>67.5</v>
          </cell>
          <cell r="D79">
            <v>135</v>
          </cell>
          <cell r="E79">
            <v>137.5</v>
          </cell>
          <cell r="F79">
            <v>202.5</v>
          </cell>
          <cell r="G79">
            <v>207.5</v>
          </cell>
          <cell r="H79">
            <v>337.5</v>
          </cell>
          <cell r="I79">
            <v>402.5</v>
          </cell>
          <cell r="J79">
            <v>202.5</v>
          </cell>
          <cell r="K79">
            <v>135</v>
          </cell>
          <cell r="L79">
            <v>236.25</v>
          </cell>
          <cell r="M79">
            <v>270</v>
          </cell>
          <cell r="N79">
            <v>202.5</v>
          </cell>
          <cell r="O79">
            <v>405</v>
          </cell>
        </row>
        <row r="80">
          <cell r="A80">
            <v>20</v>
          </cell>
          <cell r="B80">
            <v>33.5</v>
          </cell>
          <cell r="C80">
            <v>67</v>
          </cell>
          <cell r="D80">
            <v>134</v>
          </cell>
          <cell r="E80">
            <v>137</v>
          </cell>
          <cell r="F80">
            <v>201</v>
          </cell>
          <cell r="G80">
            <v>207</v>
          </cell>
          <cell r="H80">
            <v>335</v>
          </cell>
          <cell r="I80">
            <v>400</v>
          </cell>
          <cell r="J80">
            <v>201</v>
          </cell>
          <cell r="K80">
            <v>134</v>
          </cell>
          <cell r="L80">
            <v>234.5</v>
          </cell>
          <cell r="M80">
            <v>268</v>
          </cell>
          <cell r="N80">
            <v>201</v>
          </cell>
          <cell r="O80">
            <v>402</v>
          </cell>
        </row>
        <row r="81">
          <cell r="A81">
            <v>20.25</v>
          </cell>
          <cell r="B81">
            <v>32.75</v>
          </cell>
          <cell r="C81">
            <v>65.5</v>
          </cell>
          <cell r="D81">
            <v>131</v>
          </cell>
          <cell r="E81">
            <v>135.5</v>
          </cell>
          <cell r="F81">
            <v>196.5</v>
          </cell>
          <cell r="G81">
            <v>205.5</v>
          </cell>
          <cell r="H81">
            <v>327.5</v>
          </cell>
          <cell r="I81">
            <v>392.5</v>
          </cell>
          <cell r="J81">
            <v>196.5</v>
          </cell>
          <cell r="K81">
            <v>131</v>
          </cell>
          <cell r="L81">
            <v>229.25</v>
          </cell>
          <cell r="M81">
            <v>262</v>
          </cell>
          <cell r="N81">
            <v>196.5</v>
          </cell>
          <cell r="O81">
            <v>393</v>
          </cell>
        </row>
        <row r="82">
          <cell r="A82">
            <v>20.33</v>
          </cell>
          <cell r="B82">
            <v>33</v>
          </cell>
          <cell r="C82">
            <v>66</v>
          </cell>
          <cell r="D82">
            <v>132</v>
          </cell>
          <cell r="E82">
            <v>136</v>
          </cell>
          <cell r="F82">
            <v>198</v>
          </cell>
          <cell r="G82">
            <v>206</v>
          </cell>
          <cell r="H82">
            <v>330</v>
          </cell>
          <cell r="I82">
            <v>395</v>
          </cell>
          <cell r="J82">
            <v>198</v>
          </cell>
          <cell r="K82">
            <v>132</v>
          </cell>
          <cell r="L82">
            <v>231</v>
          </cell>
          <cell r="M82">
            <v>264</v>
          </cell>
          <cell r="N82">
            <v>198</v>
          </cell>
          <cell r="O82">
            <v>396</v>
          </cell>
        </row>
        <row r="83">
          <cell r="A83">
            <v>20.5</v>
          </cell>
          <cell r="B83">
            <v>33.25</v>
          </cell>
          <cell r="C83">
            <v>66.5</v>
          </cell>
          <cell r="D83">
            <v>133</v>
          </cell>
          <cell r="E83">
            <v>136.5</v>
          </cell>
          <cell r="F83">
            <v>199.5</v>
          </cell>
          <cell r="G83">
            <v>206.5</v>
          </cell>
          <cell r="H83">
            <v>332.5</v>
          </cell>
          <cell r="I83">
            <v>397.5</v>
          </cell>
          <cell r="J83">
            <v>199.5</v>
          </cell>
          <cell r="K83">
            <v>133</v>
          </cell>
          <cell r="L83">
            <v>232.75</v>
          </cell>
          <cell r="M83">
            <v>266</v>
          </cell>
          <cell r="N83">
            <v>199.5</v>
          </cell>
          <cell r="O83">
            <v>399</v>
          </cell>
        </row>
        <row r="84">
          <cell r="A84">
            <v>21</v>
          </cell>
          <cell r="B84">
            <v>33</v>
          </cell>
          <cell r="C84">
            <v>66</v>
          </cell>
          <cell r="D84">
            <v>132</v>
          </cell>
          <cell r="E84">
            <v>136</v>
          </cell>
          <cell r="F84">
            <v>198</v>
          </cell>
          <cell r="G84">
            <v>206</v>
          </cell>
          <cell r="H84">
            <v>330</v>
          </cell>
          <cell r="I84">
            <v>395</v>
          </cell>
          <cell r="J84">
            <v>198</v>
          </cell>
          <cell r="K84">
            <v>132</v>
          </cell>
          <cell r="L84">
            <v>231</v>
          </cell>
          <cell r="M84">
            <v>264</v>
          </cell>
          <cell r="N84">
            <v>198</v>
          </cell>
          <cell r="O84">
            <v>396</v>
          </cell>
        </row>
        <row r="85">
          <cell r="A85">
            <v>21.25</v>
          </cell>
          <cell r="B85">
            <v>32.25</v>
          </cell>
          <cell r="C85">
            <v>64.5</v>
          </cell>
          <cell r="D85">
            <v>129</v>
          </cell>
          <cell r="E85">
            <v>134.5</v>
          </cell>
          <cell r="F85">
            <v>193.5</v>
          </cell>
          <cell r="G85">
            <v>204.5</v>
          </cell>
          <cell r="H85">
            <v>322.5</v>
          </cell>
          <cell r="I85">
            <v>387.5</v>
          </cell>
          <cell r="J85">
            <v>193.5</v>
          </cell>
          <cell r="K85">
            <v>129</v>
          </cell>
          <cell r="L85">
            <v>225.75</v>
          </cell>
          <cell r="M85">
            <v>258</v>
          </cell>
          <cell r="N85">
            <v>193.5</v>
          </cell>
          <cell r="O85">
            <v>387</v>
          </cell>
        </row>
        <row r="86">
          <cell r="A86">
            <v>21.33</v>
          </cell>
          <cell r="B86">
            <v>32.5</v>
          </cell>
          <cell r="C86">
            <v>65</v>
          </cell>
          <cell r="D86">
            <v>130</v>
          </cell>
          <cell r="E86">
            <v>135</v>
          </cell>
          <cell r="F86">
            <v>195</v>
          </cell>
          <cell r="G86">
            <v>205</v>
          </cell>
          <cell r="H86">
            <v>325</v>
          </cell>
          <cell r="I86">
            <v>390</v>
          </cell>
          <cell r="J86">
            <v>195</v>
          </cell>
          <cell r="K86">
            <v>130</v>
          </cell>
          <cell r="L86">
            <v>227.5</v>
          </cell>
          <cell r="M86">
            <v>260</v>
          </cell>
          <cell r="N86">
            <v>195</v>
          </cell>
          <cell r="O86">
            <v>390</v>
          </cell>
        </row>
        <row r="87">
          <cell r="A87">
            <v>21.5</v>
          </cell>
          <cell r="B87">
            <v>32.75</v>
          </cell>
          <cell r="C87">
            <v>65.5</v>
          </cell>
          <cell r="D87">
            <v>131</v>
          </cell>
          <cell r="E87">
            <v>135.5</v>
          </cell>
          <cell r="F87">
            <v>196.5</v>
          </cell>
          <cell r="G87">
            <v>205.5</v>
          </cell>
          <cell r="H87">
            <v>327.5</v>
          </cell>
          <cell r="I87">
            <v>392.5</v>
          </cell>
          <cell r="J87">
            <v>196.5</v>
          </cell>
          <cell r="K87">
            <v>131</v>
          </cell>
          <cell r="L87">
            <v>229.25</v>
          </cell>
          <cell r="M87">
            <v>262</v>
          </cell>
          <cell r="N87">
            <v>196.5</v>
          </cell>
          <cell r="O87">
            <v>393</v>
          </cell>
        </row>
        <row r="88">
          <cell r="A88">
            <v>22</v>
          </cell>
          <cell r="B88">
            <v>32.5</v>
          </cell>
          <cell r="C88">
            <v>65</v>
          </cell>
          <cell r="D88">
            <v>130</v>
          </cell>
          <cell r="E88">
            <v>135</v>
          </cell>
          <cell r="F88">
            <v>195</v>
          </cell>
          <cell r="G88">
            <v>205</v>
          </cell>
          <cell r="H88">
            <v>325</v>
          </cell>
          <cell r="I88">
            <v>390</v>
          </cell>
          <cell r="J88">
            <v>195</v>
          </cell>
          <cell r="K88">
            <v>130</v>
          </cell>
          <cell r="L88">
            <v>227.5</v>
          </cell>
          <cell r="M88">
            <v>260</v>
          </cell>
          <cell r="N88">
            <v>195</v>
          </cell>
          <cell r="O88">
            <v>390</v>
          </cell>
        </row>
        <row r="89">
          <cell r="A89">
            <v>22.25</v>
          </cell>
          <cell r="B89">
            <v>31.75</v>
          </cell>
          <cell r="C89">
            <v>63.5</v>
          </cell>
          <cell r="D89">
            <v>127</v>
          </cell>
          <cell r="E89">
            <v>129.75</v>
          </cell>
          <cell r="F89">
            <v>190.5</v>
          </cell>
          <cell r="G89">
            <v>196</v>
          </cell>
          <cell r="H89">
            <v>317.5</v>
          </cell>
          <cell r="I89">
            <v>367.5</v>
          </cell>
          <cell r="J89">
            <v>190.5</v>
          </cell>
          <cell r="K89">
            <v>127</v>
          </cell>
          <cell r="L89">
            <v>222.25</v>
          </cell>
          <cell r="M89">
            <v>254</v>
          </cell>
          <cell r="N89">
            <v>190.5</v>
          </cell>
          <cell r="O89">
            <v>375.5</v>
          </cell>
        </row>
        <row r="90">
          <cell r="A90">
            <v>22.33</v>
          </cell>
          <cell r="B90">
            <v>32</v>
          </cell>
          <cell r="C90">
            <v>64</v>
          </cell>
          <cell r="D90">
            <v>128</v>
          </cell>
          <cell r="E90">
            <v>134</v>
          </cell>
          <cell r="F90">
            <v>192</v>
          </cell>
          <cell r="G90">
            <v>204</v>
          </cell>
          <cell r="H90">
            <v>320</v>
          </cell>
          <cell r="I90">
            <v>385</v>
          </cell>
          <cell r="J90">
            <v>192</v>
          </cell>
          <cell r="K90">
            <v>128</v>
          </cell>
          <cell r="L90">
            <v>224</v>
          </cell>
          <cell r="M90">
            <v>256</v>
          </cell>
          <cell r="N90">
            <v>192</v>
          </cell>
          <cell r="O90">
            <v>384</v>
          </cell>
        </row>
        <row r="91">
          <cell r="A91">
            <v>22.5</v>
          </cell>
          <cell r="B91">
            <v>32.25</v>
          </cell>
          <cell r="C91">
            <v>64.5</v>
          </cell>
          <cell r="D91">
            <v>129</v>
          </cell>
          <cell r="E91">
            <v>134.5</v>
          </cell>
          <cell r="F91">
            <v>193.5</v>
          </cell>
          <cell r="G91">
            <v>204.5</v>
          </cell>
          <cell r="H91">
            <v>322.5</v>
          </cell>
          <cell r="I91">
            <v>387.5</v>
          </cell>
          <cell r="J91">
            <v>193.5</v>
          </cell>
          <cell r="K91">
            <v>129</v>
          </cell>
          <cell r="L91">
            <v>225.75</v>
          </cell>
          <cell r="M91">
            <v>258</v>
          </cell>
          <cell r="N91">
            <v>193.5</v>
          </cell>
          <cell r="O91">
            <v>387</v>
          </cell>
        </row>
        <row r="92">
          <cell r="A92">
            <v>23</v>
          </cell>
          <cell r="B92">
            <v>32</v>
          </cell>
          <cell r="C92">
            <v>64</v>
          </cell>
          <cell r="D92">
            <v>128</v>
          </cell>
          <cell r="E92">
            <v>134</v>
          </cell>
          <cell r="F92">
            <v>192</v>
          </cell>
          <cell r="G92">
            <v>204</v>
          </cell>
          <cell r="H92">
            <v>320</v>
          </cell>
          <cell r="I92">
            <v>385</v>
          </cell>
          <cell r="J92">
            <v>192</v>
          </cell>
          <cell r="K92">
            <v>128</v>
          </cell>
          <cell r="L92">
            <v>224</v>
          </cell>
          <cell r="M92">
            <v>256</v>
          </cell>
          <cell r="N92">
            <v>192</v>
          </cell>
          <cell r="O92">
            <v>384</v>
          </cell>
        </row>
        <row r="93">
          <cell r="A93">
            <v>23.25</v>
          </cell>
          <cell r="B93">
            <v>31.25</v>
          </cell>
          <cell r="C93">
            <v>62.5</v>
          </cell>
          <cell r="D93">
            <v>125</v>
          </cell>
          <cell r="E93">
            <v>125</v>
          </cell>
          <cell r="F93">
            <v>187.5</v>
          </cell>
          <cell r="G93">
            <v>187.5</v>
          </cell>
          <cell r="H93">
            <v>312.5</v>
          </cell>
          <cell r="I93">
            <v>347.5</v>
          </cell>
          <cell r="J93">
            <v>187.5</v>
          </cell>
          <cell r="K93">
            <v>125</v>
          </cell>
          <cell r="L93">
            <v>218.75</v>
          </cell>
          <cell r="M93">
            <v>250</v>
          </cell>
          <cell r="N93">
            <v>187.5</v>
          </cell>
          <cell r="O93">
            <v>364.5</v>
          </cell>
        </row>
        <row r="94">
          <cell r="A94">
            <v>23.33</v>
          </cell>
          <cell r="B94">
            <v>31.5</v>
          </cell>
          <cell r="C94">
            <v>63</v>
          </cell>
          <cell r="D94">
            <v>126</v>
          </cell>
          <cell r="E94">
            <v>128</v>
          </cell>
          <cell r="F94">
            <v>189</v>
          </cell>
          <cell r="G94">
            <v>193</v>
          </cell>
          <cell r="H94">
            <v>315</v>
          </cell>
          <cell r="I94">
            <v>360</v>
          </cell>
          <cell r="J94">
            <v>189</v>
          </cell>
          <cell r="K94">
            <v>126</v>
          </cell>
          <cell r="L94">
            <v>220.5</v>
          </cell>
          <cell r="M94">
            <v>252</v>
          </cell>
          <cell r="N94">
            <v>189</v>
          </cell>
          <cell r="O94">
            <v>370.67</v>
          </cell>
        </row>
        <row r="95">
          <cell r="A95">
            <v>23.5</v>
          </cell>
          <cell r="B95">
            <v>31.75</v>
          </cell>
          <cell r="C95">
            <v>63.5</v>
          </cell>
          <cell r="D95">
            <v>127</v>
          </cell>
          <cell r="E95">
            <v>133.5</v>
          </cell>
          <cell r="F95">
            <v>190.5</v>
          </cell>
          <cell r="G95">
            <v>203.5</v>
          </cell>
          <cell r="H95">
            <v>317.5</v>
          </cell>
          <cell r="I95">
            <v>382.5</v>
          </cell>
          <cell r="J95">
            <v>190.5</v>
          </cell>
          <cell r="K95">
            <v>127</v>
          </cell>
          <cell r="L95">
            <v>222.25</v>
          </cell>
          <cell r="M95">
            <v>254</v>
          </cell>
          <cell r="N95">
            <v>190.5</v>
          </cell>
          <cell r="O95">
            <v>381</v>
          </cell>
        </row>
        <row r="96">
          <cell r="A96">
            <v>24</v>
          </cell>
          <cell r="B96">
            <v>31.5</v>
          </cell>
          <cell r="C96">
            <v>63</v>
          </cell>
          <cell r="D96">
            <v>126</v>
          </cell>
          <cell r="E96">
            <v>133</v>
          </cell>
          <cell r="F96">
            <v>189</v>
          </cell>
          <cell r="G96">
            <v>203</v>
          </cell>
          <cell r="H96">
            <v>315</v>
          </cell>
          <cell r="I96">
            <v>380</v>
          </cell>
          <cell r="J96">
            <v>189</v>
          </cell>
          <cell r="K96">
            <v>126</v>
          </cell>
          <cell r="L96">
            <v>220.5</v>
          </cell>
          <cell r="M96">
            <v>252</v>
          </cell>
          <cell r="N96">
            <v>189</v>
          </cell>
          <cell r="O96">
            <v>378</v>
          </cell>
        </row>
        <row r="97">
          <cell r="A97">
            <v>24.25</v>
          </cell>
          <cell r="B97">
            <v>30.75</v>
          </cell>
          <cell r="C97">
            <v>61.5</v>
          </cell>
          <cell r="D97">
            <v>123</v>
          </cell>
          <cell r="E97">
            <v>120.25</v>
          </cell>
          <cell r="F97">
            <v>184.5</v>
          </cell>
          <cell r="G97">
            <v>179</v>
          </cell>
          <cell r="H97">
            <v>307.5</v>
          </cell>
          <cell r="I97">
            <v>327.5</v>
          </cell>
          <cell r="J97">
            <v>184.5</v>
          </cell>
          <cell r="K97">
            <v>123</v>
          </cell>
          <cell r="L97">
            <v>215.25</v>
          </cell>
          <cell r="M97">
            <v>246</v>
          </cell>
          <cell r="N97">
            <v>184.5</v>
          </cell>
          <cell r="O97">
            <v>354</v>
          </cell>
        </row>
        <row r="98">
          <cell r="A98">
            <v>24.33</v>
          </cell>
          <cell r="B98">
            <v>31</v>
          </cell>
          <cell r="C98">
            <v>62</v>
          </cell>
          <cell r="D98">
            <v>124</v>
          </cell>
          <cell r="E98">
            <v>122</v>
          </cell>
          <cell r="F98">
            <v>186</v>
          </cell>
          <cell r="G98">
            <v>182</v>
          </cell>
          <cell r="H98">
            <v>310</v>
          </cell>
          <cell r="I98">
            <v>335</v>
          </cell>
          <cell r="J98">
            <v>186</v>
          </cell>
          <cell r="K98">
            <v>124</v>
          </cell>
          <cell r="L98">
            <v>217</v>
          </cell>
          <cell r="M98">
            <v>248</v>
          </cell>
          <cell r="N98">
            <v>186</v>
          </cell>
          <cell r="O98">
            <v>358</v>
          </cell>
        </row>
        <row r="99">
          <cell r="A99">
            <v>24.5</v>
          </cell>
          <cell r="B99">
            <v>31.25</v>
          </cell>
          <cell r="C99">
            <v>62.5</v>
          </cell>
          <cell r="D99">
            <v>125</v>
          </cell>
          <cell r="E99">
            <v>125</v>
          </cell>
          <cell r="F99">
            <v>187.5</v>
          </cell>
          <cell r="G99">
            <v>187.5</v>
          </cell>
          <cell r="H99">
            <v>312.5</v>
          </cell>
          <cell r="I99">
            <v>347.5</v>
          </cell>
          <cell r="J99">
            <v>187.5</v>
          </cell>
          <cell r="K99">
            <v>125</v>
          </cell>
          <cell r="L99">
            <v>218.75</v>
          </cell>
          <cell r="M99">
            <v>250</v>
          </cell>
          <cell r="N99">
            <v>187.5</v>
          </cell>
          <cell r="O99">
            <v>364</v>
          </cell>
        </row>
        <row r="100">
          <cell r="A100">
            <v>25</v>
          </cell>
          <cell r="B100">
            <v>31</v>
          </cell>
          <cell r="C100">
            <v>62</v>
          </cell>
          <cell r="D100">
            <v>124</v>
          </cell>
          <cell r="E100">
            <v>117</v>
          </cell>
          <cell r="F100">
            <v>186</v>
          </cell>
          <cell r="G100">
            <v>172</v>
          </cell>
          <cell r="H100">
            <v>310</v>
          </cell>
          <cell r="I100">
            <v>315</v>
          </cell>
          <cell r="J100">
            <v>186</v>
          </cell>
          <cell r="K100">
            <v>124</v>
          </cell>
          <cell r="L100">
            <v>217</v>
          </cell>
          <cell r="M100">
            <v>248</v>
          </cell>
          <cell r="N100">
            <v>186</v>
          </cell>
          <cell r="O100">
            <v>350</v>
          </cell>
        </row>
        <row r="101">
          <cell r="A101">
            <v>25.25</v>
          </cell>
          <cell r="B101">
            <v>30.25</v>
          </cell>
          <cell r="C101">
            <v>60.5</v>
          </cell>
          <cell r="D101">
            <v>121</v>
          </cell>
          <cell r="E101">
            <v>115.5</v>
          </cell>
          <cell r="F101">
            <v>181.5</v>
          </cell>
          <cell r="G101">
            <v>170.5</v>
          </cell>
          <cell r="H101">
            <v>302.5</v>
          </cell>
          <cell r="I101">
            <v>307.5</v>
          </cell>
          <cell r="J101">
            <v>181.5</v>
          </cell>
          <cell r="K101">
            <v>121</v>
          </cell>
          <cell r="L101">
            <v>211.75</v>
          </cell>
          <cell r="M101">
            <v>242</v>
          </cell>
          <cell r="N101">
            <v>181.5</v>
          </cell>
          <cell r="O101">
            <v>344</v>
          </cell>
        </row>
        <row r="102">
          <cell r="A102">
            <v>25.33</v>
          </cell>
          <cell r="B102">
            <v>30.5</v>
          </cell>
          <cell r="C102">
            <v>61</v>
          </cell>
          <cell r="D102">
            <v>122</v>
          </cell>
          <cell r="E102">
            <v>116</v>
          </cell>
          <cell r="F102">
            <v>183</v>
          </cell>
          <cell r="G102">
            <v>171</v>
          </cell>
          <cell r="H102">
            <v>305</v>
          </cell>
          <cell r="I102">
            <v>310</v>
          </cell>
          <cell r="J102">
            <v>183</v>
          </cell>
          <cell r="K102">
            <v>122</v>
          </cell>
          <cell r="L102">
            <v>213.5</v>
          </cell>
          <cell r="M102">
            <v>244</v>
          </cell>
          <cell r="N102">
            <v>183</v>
          </cell>
          <cell r="O102">
            <v>346</v>
          </cell>
        </row>
        <row r="103">
          <cell r="A103">
            <v>25.5</v>
          </cell>
          <cell r="B103">
            <v>30.75</v>
          </cell>
          <cell r="C103">
            <v>61.5</v>
          </cell>
          <cell r="D103">
            <v>123</v>
          </cell>
          <cell r="E103">
            <v>116.5</v>
          </cell>
          <cell r="F103">
            <v>184.5</v>
          </cell>
          <cell r="G103">
            <v>171.5</v>
          </cell>
          <cell r="H103">
            <v>307.5</v>
          </cell>
          <cell r="I103">
            <v>312.5</v>
          </cell>
          <cell r="J103">
            <v>184.5</v>
          </cell>
          <cell r="K103">
            <v>123</v>
          </cell>
          <cell r="L103">
            <v>215.25</v>
          </cell>
          <cell r="M103">
            <v>246</v>
          </cell>
          <cell r="N103">
            <v>184.5</v>
          </cell>
          <cell r="O103">
            <v>348</v>
          </cell>
        </row>
        <row r="104">
          <cell r="A104">
            <v>26</v>
          </cell>
          <cell r="B104">
            <v>30.5</v>
          </cell>
          <cell r="C104">
            <v>61</v>
          </cell>
          <cell r="D104">
            <v>122</v>
          </cell>
          <cell r="E104">
            <v>116</v>
          </cell>
          <cell r="F104">
            <v>183</v>
          </cell>
          <cell r="G104">
            <v>171</v>
          </cell>
          <cell r="H104">
            <v>305</v>
          </cell>
          <cell r="I104">
            <v>310</v>
          </cell>
          <cell r="J104">
            <v>183</v>
          </cell>
          <cell r="K104">
            <v>122</v>
          </cell>
          <cell r="L104">
            <v>213.5</v>
          </cell>
          <cell r="M104">
            <v>244</v>
          </cell>
          <cell r="N104">
            <v>183</v>
          </cell>
          <cell r="O104">
            <v>346</v>
          </cell>
        </row>
        <row r="105">
          <cell r="A105">
            <v>26.25</v>
          </cell>
          <cell r="B105">
            <v>29.75</v>
          </cell>
          <cell r="C105">
            <v>59.5</v>
          </cell>
          <cell r="D105">
            <v>119</v>
          </cell>
          <cell r="E105">
            <v>114.5</v>
          </cell>
          <cell r="F105">
            <v>178.5</v>
          </cell>
          <cell r="G105">
            <v>169.5</v>
          </cell>
          <cell r="H105">
            <v>297.5</v>
          </cell>
          <cell r="I105">
            <v>302.5</v>
          </cell>
          <cell r="J105">
            <v>178.5</v>
          </cell>
          <cell r="K105">
            <v>119</v>
          </cell>
          <cell r="L105">
            <v>208.25</v>
          </cell>
          <cell r="M105">
            <v>238</v>
          </cell>
          <cell r="N105">
            <v>178.5</v>
          </cell>
          <cell r="O105">
            <v>340</v>
          </cell>
        </row>
        <row r="106">
          <cell r="A106">
            <v>26.33</v>
          </cell>
          <cell r="B106">
            <v>30</v>
          </cell>
          <cell r="C106">
            <v>60</v>
          </cell>
          <cell r="D106">
            <v>120</v>
          </cell>
          <cell r="E106">
            <v>115</v>
          </cell>
          <cell r="F106">
            <v>180</v>
          </cell>
          <cell r="G106">
            <v>170</v>
          </cell>
          <cell r="H106">
            <v>300</v>
          </cell>
          <cell r="I106">
            <v>305</v>
          </cell>
          <cell r="J106">
            <v>180</v>
          </cell>
          <cell r="K106">
            <v>120</v>
          </cell>
          <cell r="L106">
            <v>210</v>
          </cell>
          <cell r="M106">
            <v>240</v>
          </cell>
          <cell r="N106">
            <v>180</v>
          </cell>
          <cell r="O106">
            <v>342</v>
          </cell>
        </row>
        <row r="107">
          <cell r="A107">
            <v>26.5</v>
          </cell>
          <cell r="B107">
            <v>30.25</v>
          </cell>
          <cell r="C107">
            <v>60.5</v>
          </cell>
          <cell r="D107">
            <v>121</v>
          </cell>
          <cell r="E107">
            <v>115.5</v>
          </cell>
          <cell r="F107">
            <v>181.5</v>
          </cell>
          <cell r="G107">
            <v>170.5</v>
          </cell>
          <cell r="H107">
            <v>302.5</v>
          </cell>
          <cell r="I107">
            <v>307.5</v>
          </cell>
          <cell r="J107">
            <v>181.5</v>
          </cell>
          <cell r="K107">
            <v>121</v>
          </cell>
          <cell r="L107">
            <v>211.75</v>
          </cell>
          <cell r="M107">
            <v>242</v>
          </cell>
          <cell r="N107">
            <v>181.5</v>
          </cell>
          <cell r="O107">
            <v>344</v>
          </cell>
        </row>
        <row r="108">
          <cell r="A108">
            <v>27</v>
          </cell>
          <cell r="B108">
            <v>30</v>
          </cell>
          <cell r="C108">
            <v>60</v>
          </cell>
          <cell r="D108">
            <v>120</v>
          </cell>
          <cell r="E108">
            <v>115</v>
          </cell>
          <cell r="F108">
            <v>180</v>
          </cell>
          <cell r="G108">
            <v>170</v>
          </cell>
          <cell r="H108">
            <v>300</v>
          </cell>
          <cell r="I108">
            <v>305</v>
          </cell>
          <cell r="J108">
            <v>180</v>
          </cell>
          <cell r="K108">
            <v>120</v>
          </cell>
          <cell r="L108">
            <v>210</v>
          </cell>
          <cell r="M108">
            <v>240</v>
          </cell>
          <cell r="N108">
            <v>180</v>
          </cell>
          <cell r="O108">
            <v>342</v>
          </cell>
        </row>
        <row r="109">
          <cell r="A109">
            <v>27.25</v>
          </cell>
          <cell r="B109">
            <v>29.25</v>
          </cell>
          <cell r="C109">
            <v>58.5</v>
          </cell>
          <cell r="D109">
            <v>117</v>
          </cell>
          <cell r="E109">
            <v>113.5</v>
          </cell>
          <cell r="F109">
            <v>175.5</v>
          </cell>
          <cell r="G109">
            <v>168.5</v>
          </cell>
          <cell r="H109">
            <v>292.5</v>
          </cell>
          <cell r="I109">
            <v>297.5</v>
          </cell>
          <cell r="J109">
            <v>175.5</v>
          </cell>
          <cell r="K109">
            <v>117</v>
          </cell>
          <cell r="L109">
            <v>204.75</v>
          </cell>
          <cell r="M109">
            <v>234</v>
          </cell>
          <cell r="N109">
            <v>175.5</v>
          </cell>
          <cell r="O109">
            <v>336</v>
          </cell>
        </row>
        <row r="110">
          <cell r="A110">
            <v>27.33</v>
          </cell>
          <cell r="B110">
            <v>29.5</v>
          </cell>
          <cell r="C110">
            <v>59</v>
          </cell>
          <cell r="D110">
            <v>118</v>
          </cell>
          <cell r="E110">
            <v>114</v>
          </cell>
          <cell r="F110">
            <v>177</v>
          </cell>
          <cell r="G110">
            <v>169</v>
          </cell>
          <cell r="H110">
            <v>295</v>
          </cell>
          <cell r="I110">
            <v>300</v>
          </cell>
          <cell r="J110">
            <v>177</v>
          </cell>
          <cell r="K110">
            <v>118</v>
          </cell>
          <cell r="L110">
            <v>206.5</v>
          </cell>
          <cell r="M110">
            <v>236</v>
          </cell>
          <cell r="N110">
            <v>177</v>
          </cell>
          <cell r="O110">
            <v>338</v>
          </cell>
        </row>
        <row r="111">
          <cell r="A111">
            <v>27.5</v>
          </cell>
          <cell r="B111">
            <v>29.75</v>
          </cell>
          <cell r="C111">
            <v>59.5</v>
          </cell>
          <cell r="D111">
            <v>119</v>
          </cell>
          <cell r="E111">
            <v>114.5</v>
          </cell>
          <cell r="F111">
            <v>178.5</v>
          </cell>
          <cell r="G111">
            <v>169.5</v>
          </cell>
          <cell r="H111">
            <v>297.5</v>
          </cell>
          <cell r="I111">
            <v>302.5</v>
          </cell>
          <cell r="J111">
            <v>178.5</v>
          </cell>
          <cell r="K111">
            <v>119</v>
          </cell>
          <cell r="L111">
            <v>208.25</v>
          </cell>
          <cell r="M111">
            <v>238</v>
          </cell>
          <cell r="N111">
            <v>178.5</v>
          </cell>
          <cell r="O111">
            <v>340</v>
          </cell>
        </row>
        <row r="112">
          <cell r="A112">
            <v>28</v>
          </cell>
          <cell r="B112">
            <v>29.5</v>
          </cell>
          <cell r="C112">
            <v>59</v>
          </cell>
          <cell r="D112">
            <v>118</v>
          </cell>
          <cell r="E112">
            <v>114</v>
          </cell>
          <cell r="F112">
            <v>177</v>
          </cell>
          <cell r="G112">
            <v>169</v>
          </cell>
          <cell r="H112">
            <v>295</v>
          </cell>
          <cell r="I112">
            <v>300</v>
          </cell>
          <cell r="J112">
            <v>177</v>
          </cell>
          <cell r="K112">
            <v>118</v>
          </cell>
          <cell r="L112">
            <v>206.5</v>
          </cell>
          <cell r="M112">
            <v>236</v>
          </cell>
          <cell r="N112">
            <v>177</v>
          </cell>
          <cell r="O112">
            <v>338</v>
          </cell>
        </row>
        <row r="113">
          <cell r="A113">
            <v>28.25</v>
          </cell>
          <cell r="B113">
            <v>28.75</v>
          </cell>
          <cell r="C113">
            <v>57.5</v>
          </cell>
          <cell r="D113">
            <v>115</v>
          </cell>
          <cell r="E113">
            <v>112.5</v>
          </cell>
          <cell r="F113">
            <v>172.5</v>
          </cell>
          <cell r="G113">
            <v>167.5</v>
          </cell>
          <cell r="H113">
            <v>287.5</v>
          </cell>
          <cell r="I113">
            <v>292.5</v>
          </cell>
          <cell r="J113">
            <v>172.5</v>
          </cell>
          <cell r="K113">
            <v>115</v>
          </cell>
          <cell r="L113">
            <v>201.25</v>
          </cell>
          <cell r="M113">
            <v>230</v>
          </cell>
          <cell r="N113">
            <v>172.5</v>
          </cell>
          <cell r="O113">
            <v>332</v>
          </cell>
        </row>
        <row r="114">
          <cell r="A114">
            <v>28.33</v>
          </cell>
          <cell r="B114">
            <v>29</v>
          </cell>
          <cell r="C114">
            <v>58</v>
          </cell>
          <cell r="D114">
            <v>116</v>
          </cell>
          <cell r="E114">
            <v>113</v>
          </cell>
          <cell r="F114">
            <v>174</v>
          </cell>
          <cell r="G114">
            <v>168</v>
          </cell>
          <cell r="H114">
            <v>290</v>
          </cell>
          <cell r="I114">
            <v>295</v>
          </cell>
          <cell r="J114">
            <v>174</v>
          </cell>
          <cell r="K114">
            <v>116</v>
          </cell>
          <cell r="L114">
            <v>203</v>
          </cell>
          <cell r="M114">
            <v>232</v>
          </cell>
          <cell r="N114">
            <v>174</v>
          </cell>
          <cell r="O114">
            <v>334</v>
          </cell>
        </row>
        <row r="115">
          <cell r="A115">
            <v>28.5</v>
          </cell>
          <cell r="B115">
            <v>29.25</v>
          </cell>
          <cell r="C115">
            <v>58.5</v>
          </cell>
          <cell r="D115">
            <v>117</v>
          </cell>
          <cell r="E115">
            <v>113.5</v>
          </cell>
          <cell r="F115">
            <v>175.5</v>
          </cell>
          <cell r="G115">
            <v>168.5</v>
          </cell>
          <cell r="H115">
            <v>292.5</v>
          </cell>
          <cell r="I115">
            <v>297.5</v>
          </cell>
          <cell r="J115">
            <v>175.5</v>
          </cell>
          <cell r="K115">
            <v>117</v>
          </cell>
          <cell r="L115">
            <v>204.75</v>
          </cell>
          <cell r="M115">
            <v>234</v>
          </cell>
          <cell r="N115">
            <v>175.5</v>
          </cell>
          <cell r="O115">
            <v>336</v>
          </cell>
        </row>
        <row r="116">
          <cell r="A116">
            <v>29</v>
          </cell>
          <cell r="B116">
            <v>29</v>
          </cell>
          <cell r="C116">
            <v>58</v>
          </cell>
          <cell r="D116">
            <v>116</v>
          </cell>
          <cell r="E116">
            <v>113</v>
          </cell>
          <cell r="F116">
            <v>174</v>
          </cell>
          <cell r="G116">
            <v>168</v>
          </cell>
          <cell r="H116">
            <v>290</v>
          </cell>
          <cell r="I116">
            <v>295</v>
          </cell>
          <cell r="J116">
            <v>174</v>
          </cell>
          <cell r="K116">
            <v>116</v>
          </cell>
          <cell r="L116">
            <v>203</v>
          </cell>
          <cell r="M116">
            <v>232</v>
          </cell>
          <cell r="N116">
            <v>174</v>
          </cell>
          <cell r="O116">
            <v>334</v>
          </cell>
        </row>
        <row r="117">
          <cell r="A117">
            <v>29.25</v>
          </cell>
          <cell r="B117">
            <v>28.25</v>
          </cell>
          <cell r="C117">
            <v>56.5</v>
          </cell>
          <cell r="D117">
            <v>113</v>
          </cell>
          <cell r="E117">
            <v>111.5</v>
          </cell>
          <cell r="F117">
            <v>169.5</v>
          </cell>
          <cell r="G117">
            <v>166.5</v>
          </cell>
          <cell r="H117">
            <v>282.5</v>
          </cell>
          <cell r="I117">
            <v>287.5</v>
          </cell>
          <cell r="J117">
            <v>169.5</v>
          </cell>
          <cell r="K117">
            <v>113</v>
          </cell>
          <cell r="L117">
            <v>197.75</v>
          </cell>
          <cell r="M117">
            <v>226</v>
          </cell>
          <cell r="N117">
            <v>169.5</v>
          </cell>
          <cell r="O117">
            <v>328</v>
          </cell>
        </row>
        <row r="118">
          <cell r="A118">
            <v>29.33</v>
          </cell>
          <cell r="B118">
            <v>28.5</v>
          </cell>
          <cell r="C118">
            <v>57</v>
          </cell>
          <cell r="D118">
            <v>114</v>
          </cell>
          <cell r="E118">
            <v>112</v>
          </cell>
          <cell r="F118">
            <v>171</v>
          </cell>
          <cell r="G118">
            <v>167</v>
          </cell>
          <cell r="H118">
            <v>285</v>
          </cell>
          <cell r="I118">
            <v>290</v>
          </cell>
          <cell r="J118">
            <v>171</v>
          </cell>
          <cell r="K118">
            <v>114</v>
          </cell>
          <cell r="L118">
            <v>199.5</v>
          </cell>
          <cell r="M118">
            <v>228</v>
          </cell>
          <cell r="N118">
            <v>171</v>
          </cell>
          <cell r="O118">
            <v>330</v>
          </cell>
        </row>
        <row r="119">
          <cell r="A119">
            <v>29.5</v>
          </cell>
          <cell r="B119">
            <v>28.75</v>
          </cell>
          <cell r="C119">
            <v>57.5</v>
          </cell>
          <cell r="D119">
            <v>115</v>
          </cell>
          <cell r="E119">
            <v>112.5</v>
          </cell>
          <cell r="F119">
            <v>172.5</v>
          </cell>
          <cell r="G119">
            <v>167.5</v>
          </cell>
          <cell r="H119">
            <v>287.5</v>
          </cell>
          <cell r="I119">
            <v>292.5</v>
          </cell>
          <cell r="J119">
            <v>172.5</v>
          </cell>
          <cell r="K119">
            <v>115</v>
          </cell>
          <cell r="L119">
            <v>201.25</v>
          </cell>
          <cell r="M119">
            <v>230</v>
          </cell>
          <cell r="N119">
            <v>172.5</v>
          </cell>
          <cell r="O119">
            <v>332</v>
          </cell>
        </row>
        <row r="120">
          <cell r="A120">
            <v>30</v>
          </cell>
          <cell r="B120">
            <v>28.5</v>
          </cell>
          <cell r="C120">
            <v>57</v>
          </cell>
          <cell r="D120">
            <v>114</v>
          </cell>
          <cell r="E120">
            <v>112</v>
          </cell>
          <cell r="F120">
            <v>171</v>
          </cell>
          <cell r="G120">
            <v>167</v>
          </cell>
          <cell r="H120">
            <v>285</v>
          </cell>
          <cell r="I120">
            <v>290</v>
          </cell>
          <cell r="J120">
            <v>171</v>
          </cell>
          <cell r="K120">
            <v>114</v>
          </cell>
          <cell r="L120">
            <v>199.5</v>
          </cell>
          <cell r="M120">
            <v>228</v>
          </cell>
          <cell r="N120">
            <v>171</v>
          </cell>
          <cell r="O120">
            <v>330</v>
          </cell>
        </row>
        <row r="121">
          <cell r="A121">
            <v>30.25</v>
          </cell>
          <cell r="B121">
            <v>27.88</v>
          </cell>
          <cell r="C121">
            <v>55.75</v>
          </cell>
          <cell r="D121">
            <v>111.5</v>
          </cell>
          <cell r="E121">
            <v>110.75</v>
          </cell>
          <cell r="F121">
            <v>167.25</v>
          </cell>
          <cell r="G121">
            <v>165.75</v>
          </cell>
          <cell r="H121">
            <v>278.75</v>
          </cell>
          <cell r="I121">
            <v>282.5</v>
          </cell>
          <cell r="J121">
            <v>167.25</v>
          </cell>
          <cell r="K121">
            <v>111.5</v>
          </cell>
          <cell r="L121">
            <v>195.13</v>
          </cell>
          <cell r="M121">
            <v>223</v>
          </cell>
          <cell r="N121">
            <v>167.25</v>
          </cell>
          <cell r="O121">
            <v>325</v>
          </cell>
        </row>
        <row r="122">
          <cell r="A122">
            <v>30.33</v>
          </cell>
          <cell r="B122">
            <v>28</v>
          </cell>
          <cell r="C122">
            <v>56</v>
          </cell>
          <cell r="D122">
            <v>112</v>
          </cell>
          <cell r="E122">
            <v>111</v>
          </cell>
          <cell r="F122">
            <v>168</v>
          </cell>
          <cell r="G122">
            <v>166</v>
          </cell>
          <cell r="H122">
            <v>280</v>
          </cell>
          <cell r="I122">
            <v>285</v>
          </cell>
          <cell r="J122">
            <v>168</v>
          </cell>
          <cell r="K122">
            <v>112</v>
          </cell>
          <cell r="L122">
            <v>196</v>
          </cell>
          <cell r="M122">
            <v>224</v>
          </cell>
          <cell r="N122">
            <v>168</v>
          </cell>
          <cell r="O122">
            <v>326</v>
          </cell>
        </row>
        <row r="123">
          <cell r="A123">
            <v>30.5</v>
          </cell>
          <cell r="B123">
            <v>28.25</v>
          </cell>
          <cell r="C123">
            <v>56.5</v>
          </cell>
          <cell r="D123">
            <v>113</v>
          </cell>
          <cell r="E123">
            <v>111.5</v>
          </cell>
          <cell r="F123">
            <v>169.5</v>
          </cell>
          <cell r="G123">
            <v>166.5</v>
          </cell>
          <cell r="H123">
            <v>282.5</v>
          </cell>
          <cell r="I123">
            <v>287.5</v>
          </cell>
          <cell r="J123">
            <v>169.5</v>
          </cell>
          <cell r="K123">
            <v>113</v>
          </cell>
          <cell r="L123">
            <v>197.75</v>
          </cell>
          <cell r="M123">
            <v>226</v>
          </cell>
          <cell r="N123">
            <v>169.5</v>
          </cell>
          <cell r="O123">
            <v>328</v>
          </cell>
        </row>
        <row r="124">
          <cell r="A124">
            <v>31</v>
          </cell>
          <cell r="B124">
            <v>28</v>
          </cell>
          <cell r="C124">
            <v>56</v>
          </cell>
          <cell r="D124">
            <v>112</v>
          </cell>
          <cell r="E124">
            <v>111</v>
          </cell>
          <cell r="F124">
            <v>168</v>
          </cell>
          <cell r="G124">
            <v>166</v>
          </cell>
          <cell r="H124">
            <v>280</v>
          </cell>
          <cell r="I124">
            <v>285</v>
          </cell>
          <cell r="J124">
            <v>168</v>
          </cell>
          <cell r="K124">
            <v>112</v>
          </cell>
          <cell r="L124">
            <v>196</v>
          </cell>
          <cell r="M124">
            <v>224</v>
          </cell>
          <cell r="N124">
            <v>168</v>
          </cell>
          <cell r="O124">
            <v>326</v>
          </cell>
        </row>
        <row r="125">
          <cell r="A125">
            <v>31.25</v>
          </cell>
          <cell r="B125">
            <v>27.63</v>
          </cell>
          <cell r="C125">
            <v>55.25</v>
          </cell>
          <cell r="D125">
            <v>110.5</v>
          </cell>
          <cell r="E125">
            <v>110.25</v>
          </cell>
          <cell r="F125">
            <v>165.75</v>
          </cell>
          <cell r="G125">
            <v>165.25</v>
          </cell>
          <cell r="H125">
            <v>276.25</v>
          </cell>
          <cell r="I125">
            <v>277.5</v>
          </cell>
          <cell r="J125">
            <v>165.75</v>
          </cell>
          <cell r="K125">
            <v>110.5</v>
          </cell>
          <cell r="L125">
            <v>193.38</v>
          </cell>
          <cell r="M125">
            <v>221</v>
          </cell>
          <cell r="N125">
            <v>165.75</v>
          </cell>
          <cell r="O125">
            <v>323</v>
          </cell>
        </row>
        <row r="126">
          <cell r="A126">
            <v>31.33</v>
          </cell>
          <cell r="B126">
            <v>27.67</v>
          </cell>
          <cell r="C126">
            <v>55.33</v>
          </cell>
          <cell r="D126">
            <v>110.67</v>
          </cell>
          <cell r="E126">
            <v>110.33</v>
          </cell>
          <cell r="F126">
            <v>166</v>
          </cell>
          <cell r="G126">
            <v>165.33</v>
          </cell>
          <cell r="H126">
            <v>276.67</v>
          </cell>
          <cell r="I126">
            <v>280</v>
          </cell>
          <cell r="J126">
            <v>166</v>
          </cell>
          <cell r="K126">
            <v>110.67</v>
          </cell>
          <cell r="L126">
            <v>193.67</v>
          </cell>
          <cell r="M126">
            <v>221.33</v>
          </cell>
          <cell r="N126">
            <v>166</v>
          </cell>
          <cell r="O126">
            <v>323.33</v>
          </cell>
        </row>
        <row r="127">
          <cell r="A127">
            <v>31.5</v>
          </cell>
          <cell r="B127">
            <v>27.75</v>
          </cell>
          <cell r="C127">
            <v>55.5</v>
          </cell>
          <cell r="D127">
            <v>111</v>
          </cell>
          <cell r="E127">
            <v>110.5</v>
          </cell>
          <cell r="F127">
            <v>166.5</v>
          </cell>
          <cell r="G127">
            <v>165.5</v>
          </cell>
          <cell r="H127">
            <v>277.5</v>
          </cell>
          <cell r="I127">
            <v>282.5</v>
          </cell>
          <cell r="J127">
            <v>166.5</v>
          </cell>
          <cell r="K127">
            <v>111</v>
          </cell>
          <cell r="L127">
            <v>194.25</v>
          </cell>
          <cell r="M127">
            <v>222</v>
          </cell>
          <cell r="N127">
            <v>166.5</v>
          </cell>
          <cell r="O127">
            <v>324</v>
          </cell>
        </row>
        <row r="128">
          <cell r="A128">
            <v>32</v>
          </cell>
          <cell r="B128">
            <v>27.5</v>
          </cell>
          <cell r="C128">
            <v>55</v>
          </cell>
          <cell r="D128">
            <v>110</v>
          </cell>
          <cell r="E128">
            <v>110</v>
          </cell>
          <cell r="F128">
            <v>165</v>
          </cell>
          <cell r="G128">
            <v>165</v>
          </cell>
          <cell r="H128">
            <v>275</v>
          </cell>
          <cell r="I128">
            <v>280</v>
          </cell>
          <cell r="J128">
            <v>165</v>
          </cell>
          <cell r="K128">
            <v>110</v>
          </cell>
          <cell r="L128">
            <v>192.5</v>
          </cell>
          <cell r="M128">
            <v>220</v>
          </cell>
          <cell r="N128">
            <v>165</v>
          </cell>
          <cell r="O128">
            <v>322</v>
          </cell>
        </row>
        <row r="129">
          <cell r="A129">
            <v>32.25</v>
          </cell>
          <cell r="B129">
            <v>27.5</v>
          </cell>
          <cell r="C129">
            <v>55</v>
          </cell>
          <cell r="D129">
            <v>110</v>
          </cell>
          <cell r="E129">
            <v>110</v>
          </cell>
          <cell r="F129">
            <v>165</v>
          </cell>
          <cell r="G129">
            <v>165</v>
          </cell>
          <cell r="H129">
            <v>275</v>
          </cell>
          <cell r="I129">
            <v>272.5</v>
          </cell>
          <cell r="J129">
            <v>165</v>
          </cell>
          <cell r="K129">
            <v>110</v>
          </cell>
          <cell r="L129">
            <v>192.5</v>
          </cell>
          <cell r="M129">
            <v>220</v>
          </cell>
          <cell r="N129">
            <v>165</v>
          </cell>
          <cell r="O129">
            <v>322</v>
          </cell>
        </row>
        <row r="130">
          <cell r="A130">
            <v>32.33</v>
          </cell>
          <cell r="B130">
            <v>27.5</v>
          </cell>
          <cell r="C130">
            <v>55</v>
          </cell>
          <cell r="D130">
            <v>110</v>
          </cell>
          <cell r="E130">
            <v>110</v>
          </cell>
          <cell r="F130">
            <v>165</v>
          </cell>
          <cell r="G130">
            <v>165</v>
          </cell>
          <cell r="H130">
            <v>275</v>
          </cell>
          <cell r="I130">
            <v>275</v>
          </cell>
          <cell r="J130">
            <v>165</v>
          </cell>
          <cell r="K130">
            <v>110</v>
          </cell>
          <cell r="L130">
            <v>192.5</v>
          </cell>
          <cell r="M130">
            <v>220</v>
          </cell>
          <cell r="N130">
            <v>165</v>
          </cell>
          <cell r="O130">
            <v>322</v>
          </cell>
        </row>
        <row r="131">
          <cell r="A131">
            <v>32.5</v>
          </cell>
          <cell r="B131">
            <v>27.5</v>
          </cell>
          <cell r="C131">
            <v>55</v>
          </cell>
          <cell r="D131">
            <v>110</v>
          </cell>
          <cell r="E131">
            <v>110</v>
          </cell>
          <cell r="F131">
            <v>165</v>
          </cell>
          <cell r="G131">
            <v>165</v>
          </cell>
          <cell r="H131">
            <v>275</v>
          </cell>
          <cell r="I131">
            <v>277.5</v>
          </cell>
          <cell r="J131">
            <v>165</v>
          </cell>
          <cell r="K131">
            <v>110</v>
          </cell>
          <cell r="L131">
            <v>192.5</v>
          </cell>
          <cell r="M131">
            <v>220</v>
          </cell>
          <cell r="N131">
            <v>165</v>
          </cell>
          <cell r="O131">
            <v>322</v>
          </cell>
        </row>
        <row r="132">
          <cell r="A132">
            <v>32.99</v>
          </cell>
          <cell r="B132">
            <v>27.5</v>
          </cell>
          <cell r="C132">
            <v>55</v>
          </cell>
          <cell r="D132">
            <v>110</v>
          </cell>
          <cell r="E132">
            <v>110</v>
          </cell>
          <cell r="F132">
            <v>165</v>
          </cell>
          <cell r="G132">
            <v>165</v>
          </cell>
          <cell r="H132">
            <v>275</v>
          </cell>
          <cell r="I132">
            <v>280</v>
          </cell>
          <cell r="J132">
            <v>165</v>
          </cell>
          <cell r="K132">
            <v>110</v>
          </cell>
          <cell r="L132">
            <v>192.5</v>
          </cell>
          <cell r="M132">
            <v>220</v>
          </cell>
          <cell r="N132">
            <v>165</v>
          </cell>
          <cell r="O132">
            <v>322</v>
          </cell>
        </row>
        <row r="133">
          <cell r="A133">
            <v>33</v>
          </cell>
          <cell r="B133">
            <v>0</v>
          </cell>
          <cell r="C133">
            <v>0</v>
          </cell>
          <cell r="D133">
            <v>110</v>
          </cell>
          <cell r="E133">
            <v>0</v>
          </cell>
          <cell r="F133">
            <v>165</v>
          </cell>
          <cell r="G133">
            <v>0</v>
          </cell>
          <cell r="H133">
            <v>0</v>
          </cell>
          <cell r="I133">
            <v>275</v>
          </cell>
          <cell r="J133">
            <v>100</v>
          </cell>
          <cell r="K133">
            <v>70</v>
          </cell>
          <cell r="L133">
            <v>0</v>
          </cell>
          <cell r="M133">
            <v>0</v>
          </cell>
          <cell r="N133">
            <v>0</v>
          </cell>
          <cell r="O133">
            <v>160</v>
          </cell>
        </row>
        <row r="134">
          <cell r="A134">
            <v>33.25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267.5</v>
          </cell>
          <cell r="J134">
            <v>98.5</v>
          </cell>
          <cell r="K134">
            <v>68.5</v>
          </cell>
          <cell r="L134">
            <v>0</v>
          </cell>
          <cell r="M134">
            <v>0</v>
          </cell>
          <cell r="N134">
            <v>0</v>
          </cell>
          <cell r="O134">
            <v>154</v>
          </cell>
        </row>
        <row r="135">
          <cell r="A135">
            <v>33.33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270</v>
          </cell>
          <cell r="J135">
            <v>99</v>
          </cell>
          <cell r="K135">
            <v>69</v>
          </cell>
          <cell r="L135">
            <v>0</v>
          </cell>
          <cell r="M135">
            <v>0</v>
          </cell>
          <cell r="N135">
            <v>0</v>
          </cell>
          <cell r="O135">
            <v>156</v>
          </cell>
        </row>
        <row r="136">
          <cell r="A136">
            <v>33.5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272.5</v>
          </cell>
          <cell r="J136">
            <v>99.5</v>
          </cell>
          <cell r="K136">
            <v>69.5</v>
          </cell>
          <cell r="L136">
            <v>0</v>
          </cell>
          <cell r="M136">
            <v>0</v>
          </cell>
          <cell r="N136">
            <v>0</v>
          </cell>
          <cell r="O136">
            <v>158</v>
          </cell>
        </row>
        <row r="137">
          <cell r="A137">
            <v>34</v>
          </cell>
          <cell r="B137">
            <v>0</v>
          </cell>
          <cell r="C137">
            <v>0</v>
          </cell>
          <cell r="D137">
            <v>110</v>
          </cell>
          <cell r="E137">
            <v>0</v>
          </cell>
          <cell r="F137">
            <v>165</v>
          </cell>
          <cell r="G137">
            <v>0</v>
          </cell>
          <cell r="H137">
            <v>0</v>
          </cell>
          <cell r="I137">
            <v>270</v>
          </cell>
          <cell r="J137">
            <v>99</v>
          </cell>
          <cell r="K137">
            <v>69</v>
          </cell>
          <cell r="L137">
            <v>0</v>
          </cell>
          <cell r="M137">
            <v>0</v>
          </cell>
          <cell r="N137">
            <v>0</v>
          </cell>
          <cell r="O137">
            <v>156</v>
          </cell>
        </row>
        <row r="138">
          <cell r="A138">
            <v>34.25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262.5</v>
          </cell>
          <cell r="J138">
            <v>97.5</v>
          </cell>
          <cell r="K138">
            <v>67.5</v>
          </cell>
          <cell r="L138">
            <v>0</v>
          </cell>
          <cell r="M138">
            <v>0</v>
          </cell>
          <cell r="N138">
            <v>0</v>
          </cell>
          <cell r="O138">
            <v>150</v>
          </cell>
        </row>
        <row r="139">
          <cell r="A139">
            <v>34.33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265</v>
          </cell>
          <cell r="J139">
            <v>98</v>
          </cell>
          <cell r="K139">
            <v>68</v>
          </cell>
          <cell r="L139">
            <v>0</v>
          </cell>
          <cell r="M139">
            <v>0</v>
          </cell>
          <cell r="N139">
            <v>0</v>
          </cell>
          <cell r="O139">
            <v>152</v>
          </cell>
        </row>
        <row r="140">
          <cell r="A140">
            <v>34.5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267.5</v>
          </cell>
          <cell r="J140">
            <v>98.5</v>
          </cell>
          <cell r="K140">
            <v>68.5</v>
          </cell>
          <cell r="L140">
            <v>0</v>
          </cell>
          <cell r="M140">
            <v>0</v>
          </cell>
          <cell r="N140">
            <v>0</v>
          </cell>
          <cell r="O140">
            <v>154</v>
          </cell>
        </row>
        <row r="141">
          <cell r="A141">
            <v>35</v>
          </cell>
          <cell r="B141">
            <v>0</v>
          </cell>
          <cell r="C141">
            <v>0</v>
          </cell>
          <cell r="D141">
            <v>110</v>
          </cell>
          <cell r="E141">
            <v>0</v>
          </cell>
          <cell r="F141">
            <v>165</v>
          </cell>
          <cell r="G141">
            <v>0</v>
          </cell>
          <cell r="H141">
            <v>0</v>
          </cell>
          <cell r="I141">
            <v>265</v>
          </cell>
          <cell r="J141">
            <v>98</v>
          </cell>
          <cell r="K141">
            <v>68</v>
          </cell>
          <cell r="L141">
            <v>0</v>
          </cell>
          <cell r="M141">
            <v>0</v>
          </cell>
          <cell r="N141">
            <v>0</v>
          </cell>
          <cell r="O141">
            <v>152</v>
          </cell>
        </row>
        <row r="142">
          <cell r="A142">
            <v>35.25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257.5</v>
          </cell>
          <cell r="J142">
            <v>96.5</v>
          </cell>
          <cell r="K142">
            <v>66.5</v>
          </cell>
          <cell r="L142">
            <v>0</v>
          </cell>
          <cell r="M142">
            <v>0</v>
          </cell>
          <cell r="N142">
            <v>0</v>
          </cell>
          <cell r="O142">
            <v>146</v>
          </cell>
        </row>
        <row r="143">
          <cell r="A143">
            <v>35.33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260</v>
          </cell>
          <cell r="J143">
            <v>97</v>
          </cell>
          <cell r="K143">
            <v>67</v>
          </cell>
          <cell r="L143">
            <v>0</v>
          </cell>
          <cell r="M143">
            <v>0</v>
          </cell>
          <cell r="N143">
            <v>0</v>
          </cell>
          <cell r="O143">
            <v>148</v>
          </cell>
        </row>
        <row r="144">
          <cell r="A144">
            <v>35.5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262.5</v>
          </cell>
          <cell r="J144">
            <v>97.5</v>
          </cell>
          <cell r="K144">
            <v>67.5</v>
          </cell>
          <cell r="L144">
            <v>0</v>
          </cell>
          <cell r="M144">
            <v>0</v>
          </cell>
          <cell r="N144">
            <v>0</v>
          </cell>
          <cell r="O144">
            <v>150</v>
          </cell>
        </row>
        <row r="145">
          <cell r="A145">
            <v>36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260</v>
          </cell>
          <cell r="J145">
            <v>97</v>
          </cell>
          <cell r="K145">
            <v>67</v>
          </cell>
          <cell r="L145">
            <v>0</v>
          </cell>
          <cell r="M145">
            <v>0</v>
          </cell>
          <cell r="N145">
            <v>0</v>
          </cell>
          <cell r="O145">
            <v>148</v>
          </cell>
        </row>
        <row r="146">
          <cell r="A146">
            <v>36.25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252.5</v>
          </cell>
          <cell r="J146">
            <v>95.5</v>
          </cell>
          <cell r="K146">
            <v>65.5</v>
          </cell>
          <cell r="L146">
            <v>0</v>
          </cell>
          <cell r="M146">
            <v>0</v>
          </cell>
          <cell r="N146">
            <v>0</v>
          </cell>
          <cell r="O146">
            <v>142</v>
          </cell>
        </row>
        <row r="147">
          <cell r="A147">
            <v>36.33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255</v>
          </cell>
          <cell r="J147">
            <v>96</v>
          </cell>
          <cell r="K147">
            <v>66</v>
          </cell>
          <cell r="L147">
            <v>0</v>
          </cell>
          <cell r="M147">
            <v>0</v>
          </cell>
          <cell r="N147">
            <v>0</v>
          </cell>
          <cell r="O147">
            <v>144</v>
          </cell>
        </row>
        <row r="148">
          <cell r="A148">
            <v>36.5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257.5</v>
          </cell>
          <cell r="J148">
            <v>96.5</v>
          </cell>
          <cell r="K148">
            <v>66.5</v>
          </cell>
          <cell r="L148">
            <v>0</v>
          </cell>
          <cell r="M148">
            <v>0</v>
          </cell>
          <cell r="N148">
            <v>0</v>
          </cell>
          <cell r="O148">
            <v>146</v>
          </cell>
        </row>
        <row r="149">
          <cell r="A149">
            <v>37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255</v>
          </cell>
          <cell r="J149">
            <v>96</v>
          </cell>
          <cell r="K149">
            <v>66</v>
          </cell>
          <cell r="L149">
            <v>0</v>
          </cell>
          <cell r="M149">
            <v>0</v>
          </cell>
          <cell r="N149">
            <v>0</v>
          </cell>
          <cell r="O149">
            <v>144</v>
          </cell>
        </row>
        <row r="150">
          <cell r="A150">
            <v>37.25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247.5</v>
          </cell>
          <cell r="J150">
            <v>94.5</v>
          </cell>
          <cell r="K150">
            <v>64.5</v>
          </cell>
          <cell r="L150">
            <v>0</v>
          </cell>
          <cell r="M150">
            <v>0</v>
          </cell>
          <cell r="N150">
            <v>0</v>
          </cell>
          <cell r="O150">
            <v>138</v>
          </cell>
        </row>
        <row r="151">
          <cell r="A151">
            <v>37.33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250</v>
          </cell>
          <cell r="J151">
            <v>95</v>
          </cell>
          <cell r="K151">
            <v>65</v>
          </cell>
          <cell r="L151">
            <v>0</v>
          </cell>
          <cell r="M151">
            <v>0</v>
          </cell>
          <cell r="N151">
            <v>0</v>
          </cell>
          <cell r="O151">
            <v>140</v>
          </cell>
        </row>
        <row r="152">
          <cell r="A152">
            <v>37.5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252.5</v>
          </cell>
          <cell r="J152">
            <v>95.5</v>
          </cell>
          <cell r="K152">
            <v>65.5</v>
          </cell>
          <cell r="L152">
            <v>0</v>
          </cell>
          <cell r="M152">
            <v>0</v>
          </cell>
          <cell r="N152">
            <v>0</v>
          </cell>
          <cell r="O152">
            <v>142</v>
          </cell>
        </row>
        <row r="153">
          <cell r="A153">
            <v>38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250</v>
          </cell>
          <cell r="J153">
            <v>95</v>
          </cell>
          <cell r="K153">
            <v>65</v>
          </cell>
          <cell r="L153">
            <v>0</v>
          </cell>
          <cell r="M153">
            <v>0</v>
          </cell>
          <cell r="N153">
            <v>0</v>
          </cell>
          <cell r="O153">
            <v>140</v>
          </cell>
        </row>
        <row r="154">
          <cell r="A154">
            <v>38.25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242.5</v>
          </cell>
          <cell r="J154">
            <v>93.5</v>
          </cell>
          <cell r="K154">
            <v>63.5</v>
          </cell>
          <cell r="L154">
            <v>0</v>
          </cell>
          <cell r="M154">
            <v>0</v>
          </cell>
          <cell r="N154">
            <v>0</v>
          </cell>
          <cell r="O154">
            <v>134</v>
          </cell>
        </row>
        <row r="155">
          <cell r="A155">
            <v>38.33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245</v>
          </cell>
          <cell r="J155">
            <v>94</v>
          </cell>
          <cell r="K155">
            <v>64</v>
          </cell>
          <cell r="L155">
            <v>0</v>
          </cell>
          <cell r="M155">
            <v>0</v>
          </cell>
          <cell r="N155">
            <v>0</v>
          </cell>
          <cell r="O155">
            <v>136</v>
          </cell>
        </row>
        <row r="156">
          <cell r="A156">
            <v>38.5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247.5</v>
          </cell>
          <cell r="J156">
            <v>94.5</v>
          </cell>
          <cell r="K156">
            <v>64.5</v>
          </cell>
          <cell r="L156">
            <v>0</v>
          </cell>
          <cell r="M156">
            <v>0</v>
          </cell>
          <cell r="N156">
            <v>0</v>
          </cell>
          <cell r="O156">
            <v>138</v>
          </cell>
        </row>
        <row r="157">
          <cell r="A157">
            <v>39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245</v>
          </cell>
          <cell r="J157">
            <v>94</v>
          </cell>
          <cell r="K157">
            <v>64</v>
          </cell>
          <cell r="L157">
            <v>0</v>
          </cell>
          <cell r="M157">
            <v>0</v>
          </cell>
          <cell r="N157">
            <v>0</v>
          </cell>
          <cell r="O157">
            <v>136</v>
          </cell>
        </row>
        <row r="158">
          <cell r="A158">
            <v>39.25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237.5</v>
          </cell>
          <cell r="J158">
            <v>92.5</v>
          </cell>
          <cell r="K158">
            <v>62.5</v>
          </cell>
          <cell r="L158">
            <v>0</v>
          </cell>
          <cell r="M158">
            <v>0</v>
          </cell>
          <cell r="N158">
            <v>0</v>
          </cell>
          <cell r="O158">
            <v>130</v>
          </cell>
        </row>
        <row r="159">
          <cell r="A159">
            <v>39.33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240</v>
          </cell>
          <cell r="J159">
            <v>93</v>
          </cell>
          <cell r="K159">
            <v>63</v>
          </cell>
          <cell r="L159">
            <v>0</v>
          </cell>
          <cell r="M159">
            <v>0</v>
          </cell>
          <cell r="N159">
            <v>0</v>
          </cell>
          <cell r="O159">
            <v>132</v>
          </cell>
        </row>
        <row r="160">
          <cell r="A160">
            <v>39.5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242.5</v>
          </cell>
          <cell r="J160">
            <v>93.5</v>
          </cell>
          <cell r="K160">
            <v>63.5</v>
          </cell>
          <cell r="L160">
            <v>0</v>
          </cell>
          <cell r="M160">
            <v>0</v>
          </cell>
          <cell r="N160">
            <v>0</v>
          </cell>
          <cell r="O160">
            <v>134</v>
          </cell>
        </row>
        <row r="161">
          <cell r="A161">
            <v>40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240</v>
          </cell>
          <cell r="J161">
            <v>93</v>
          </cell>
          <cell r="K161">
            <v>63</v>
          </cell>
          <cell r="L161">
            <v>0</v>
          </cell>
          <cell r="M161">
            <v>0</v>
          </cell>
          <cell r="N161">
            <v>0</v>
          </cell>
          <cell r="O161">
            <v>132</v>
          </cell>
        </row>
        <row r="162">
          <cell r="A162">
            <v>40.25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232.5</v>
          </cell>
          <cell r="J162">
            <v>91.5</v>
          </cell>
          <cell r="K162">
            <v>61.5</v>
          </cell>
          <cell r="L162">
            <v>0</v>
          </cell>
          <cell r="M162">
            <v>0</v>
          </cell>
          <cell r="N162">
            <v>0</v>
          </cell>
          <cell r="O162">
            <v>126</v>
          </cell>
        </row>
        <row r="163">
          <cell r="A163">
            <v>40.33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235</v>
          </cell>
          <cell r="J163">
            <v>92</v>
          </cell>
          <cell r="K163">
            <v>62</v>
          </cell>
          <cell r="L163">
            <v>0</v>
          </cell>
          <cell r="M163">
            <v>0</v>
          </cell>
          <cell r="N163">
            <v>0</v>
          </cell>
          <cell r="O163">
            <v>128</v>
          </cell>
        </row>
        <row r="164">
          <cell r="A164">
            <v>40.5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237.5</v>
          </cell>
          <cell r="J164">
            <v>92.5</v>
          </cell>
          <cell r="K164">
            <v>62.5</v>
          </cell>
          <cell r="L164">
            <v>0</v>
          </cell>
          <cell r="M164">
            <v>0</v>
          </cell>
          <cell r="N164">
            <v>0</v>
          </cell>
          <cell r="O164">
            <v>130</v>
          </cell>
        </row>
        <row r="165">
          <cell r="A165">
            <v>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235</v>
          </cell>
          <cell r="J165">
            <v>92</v>
          </cell>
          <cell r="K165">
            <v>62</v>
          </cell>
          <cell r="L165">
            <v>0</v>
          </cell>
          <cell r="M165">
            <v>0</v>
          </cell>
          <cell r="N165">
            <v>0</v>
          </cell>
          <cell r="O165">
            <v>128</v>
          </cell>
        </row>
        <row r="166">
          <cell r="A166">
            <v>41.25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227.5</v>
          </cell>
          <cell r="J166">
            <v>90.5</v>
          </cell>
          <cell r="K166">
            <v>60.5</v>
          </cell>
          <cell r="L166">
            <v>0</v>
          </cell>
          <cell r="M166">
            <v>0</v>
          </cell>
          <cell r="N166">
            <v>0</v>
          </cell>
          <cell r="O166">
            <v>122</v>
          </cell>
        </row>
        <row r="167">
          <cell r="A167">
            <v>41.33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230</v>
          </cell>
          <cell r="J167">
            <v>91</v>
          </cell>
          <cell r="K167">
            <v>61</v>
          </cell>
          <cell r="L167">
            <v>0</v>
          </cell>
          <cell r="M167">
            <v>0</v>
          </cell>
          <cell r="N167">
            <v>0</v>
          </cell>
          <cell r="O167">
            <v>124</v>
          </cell>
        </row>
        <row r="168">
          <cell r="A168">
            <v>41.5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232.5</v>
          </cell>
          <cell r="J168">
            <v>91.5</v>
          </cell>
          <cell r="K168">
            <v>61.5</v>
          </cell>
          <cell r="L168">
            <v>0</v>
          </cell>
          <cell r="M168">
            <v>0</v>
          </cell>
          <cell r="N168">
            <v>0</v>
          </cell>
          <cell r="O168">
            <v>126</v>
          </cell>
        </row>
        <row r="169">
          <cell r="A169">
            <v>42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230</v>
          </cell>
          <cell r="J169">
            <v>91</v>
          </cell>
          <cell r="K169">
            <v>61</v>
          </cell>
          <cell r="L169">
            <v>0</v>
          </cell>
          <cell r="M169">
            <v>0</v>
          </cell>
          <cell r="N169">
            <v>0</v>
          </cell>
          <cell r="O169">
            <v>124</v>
          </cell>
        </row>
        <row r="170">
          <cell r="A170">
            <v>42.25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222.5</v>
          </cell>
          <cell r="J170">
            <v>89.5</v>
          </cell>
          <cell r="K170">
            <v>59.5</v>
          </cell>
          <cell r="L170">
            <v>0</v>
          </cell>
          <cell r="M170">
            <v>0</v>
          </cell>
          <cell r="N170">
            <v>0</v>
          </cell>
          <cell r="O170">
            <v>118</v>
          </cell>
        </row>
        <row r="171">
          <cell r="A171">
            <v>42.33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225</v>
          </cell>
          <cell r="J171">
            <v>90</v>
          </cell>
          <cell r="K171">
            <v>60</v>
          </cell>
          <cell r="L171">
            <v>0</v>
          </cell>
          <cell r="M171">
            <v>0</v>
          </cell>
          <cell r="N171">
            <v>0</v>
          </cell>
          <cell r="O171">
            <v>120</v>
          </cell>
        </row>
        <row r="172">
          <cell r="A172">
            <v>42.5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227.5</v>
          </cell>
          <cell r="J172">
            <v>90.5</v>
          </cell>
          <cell r="K172">
            <v>60.5</v>
          </cell>
          <cell r="L172">
            <v>0</v>
          </cell>
          <cell r="M172">
            <v>0</v>
          </cell>
          <cell r="N172">
            <v>0</v>
          </cell>
          <cell r="O172">
            <v>122</v>
          </cell>
        </row>
        <row r="173">
          <cell r="A173">
            <v>43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225</v>
          </cell>
          <cell r="J173">
            <v>90</v>
          </cell>
          <cell r="K173">
            <v>60</v>
          </cell>
          <cell r="L173">
            <v>0</v>
          </cell>
          <cell r="M173">
            <v>0</v>
          </cell>
          <cell r="N173">
            <v>0</v>
          </cell>
          <cell r="O173">
            <v>120</v>
          </cell>
        </row>
        <row r="174">
          <cell r="A174">
            <v>43.25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217.5</v>
          </cell>
          <cell r="J174">
            <v>88.5</v>
          </cell>
          <cell r="K174">
            <v>58.5</v>
          </cell>
          <cell r="L174">
            <v>0</v>
          </cell>
          <cell r="M174">
            <v>0</v>
          </cell>
          <cell r="N174">
            <v>0</v>
          </cell>
          <cell r="O174">
            <v>114</v>
          </cell>
        </row>
        <row r="175">
          <cell r="A175">
            <v>43.33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220</v>
          </cell>
          <cell r="J175">
            <v>89</v>
          </cell>
          <cell r="K175">
            <v>59</v>
          </cell>
          <cell r="L175">
            <v>0</v>
          </cell>
          <cell r="M175">
            <v>0</v>
          </cell>
          <cell r="N175">
            <v>0</v>
          </cell>
          <cell r="O175">
            <v>116</v>
          </cell>
        </row>
        <row r="176">
          <cell r="A176">
            <v>43.5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222.5</v>
          </cell>
          <cell r="J176">
            <v>89.5</v>
          </cell>
          <cell r="K176">
            <v>59.5</v>
          </cell>
          <cell r="L176">
            <v>0</v>
          </cell>
          <cell r="M176">
            <v>0</v>
          </cell>
          <cell r="N176">
            <v>0</v>
          </cell>
          <cell r="O176">
            <v>118</v>
          </cell>
        </row>
        <row r="177">
          <cell r="A177">
            <v>44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220</v>
          </cell>
          <cell r="J177">
            <v>89</v>
          </cell>
          <cell r="K177">
            <v>59</v>
          </cell>
          <cell r="L177">
            <v>0</v>
          </cell>
          <cell r="M177">
            <v>0</v>
          </cell>
          <cell r="N177">
            <v>0</v>
          </cell>
          <cell r="O177">
            <v>116</v>
          </cell>
        </row>
        <row r="178">
          <cell r="A178">
            <v>44.25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212.5</v>
          </cell>
          <cell r="J178">
            <v>87.5</v>
          </cell>
          <cell r="K178">
            <v>57.5</v>
          </cell>
          <cell r="L178">
            <v>0</v>
          </cell>
          <cell r="M178">
            <v>0</v>
          </cell>
          <cell r="N178">
            <v>0</v>
          </cell>
          <cell r="O178">
            <v>110</v>
          </cell>
        </row>
        <row r="179">
          <cell r="A179">
            <v>44.33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215</v>
          </cell>
          <cell r="J179">
            <v>88</v>
          </cell>
          <cell r="K179">
            <v>58</v>
          </cell>
          <cell r="L179">
            <v>0</v>
          </cell>
          <cell r="M179">
            <v>0</v>
          </cell>
          <cell r="N179">
            <v>0</v>
          </cell>
          <cell r="O179">
            <v>112</v>
          </cell>
        </row>
        <row r="180">
          <cell r="A180">
            <v>44.5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217.5</v>
          </cell>
          <cell r="J180">
            <v>88.5</v>
          </cell>
          <cell r="K180">
            <v>58.5</v>
          </cell>
          <cell r="L180">
            <v>0</v>
          </cell>
          <cell r="M180">
            <v>0</v>
          </cell>
          <cell r="N180">
            <v>0</v>
          </cell>
          <cell r="O180">
            <v>114</v>
          </cell>
        </row>
        <row r="181">
          <cell r="A181">
            <v>45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215</v>
          </cell>
          <cell r="J181">
            <v>88</v>
          </cell>
          <cell r="K181">
            <v>58</v>
          </cell>
          <cell r="L181">
            <v>0</v>
          </cell>
          <cell r="M181">
            <v>0</v>
          </cell>
          <cell r="N181">
            <v>0</v>
          </cell>
          <cell r="O181">
            <v>112</v>
          </cell>
        </row>
        <row r="182">
          <cell r="A182">
            <v>45.25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207.5</v>
          </cell>
          <cell r="J182">
            <v>86.5</v>
          </cell>
          <cell r="K182">
            <v>56.5</v>
          </cell>
          <cell r="L182">
            <v>0</v>
          </cell>
          <cell r="M182">
            <v>0</v>
          </cell>
          <cell r="N182">
            <v>0</v>
          </cell>
          <cell r="O182">
            <v>106</v>
          </cell>
        </row>
        <row r="183">
          <cell r="A183">
            <v>45.33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210</v>
          </cell>
          <cell r="J183">
            <v>87</v>
          </cell>
          <cell r="K183">
            <v>57</v>
          </cell>
          <cell r="L183">
            <v>0</v>
          </cell>
          <cell r="M183">
            <v>0</v>
          </cell>
          <cell r="N183">
            <v>0</v>
          </cell>
          <cell r="O183">
            <v>108</v>
          </cell>
        </row>
        <row r="184">
          <cell r="A184">
            <v>45.5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212.5</v>
          </cell>
          <cell r="J184">
            <v>87.5</v>
          </cell>
          <cell r="K184">
            <v>57.5</v>
          </cell>
          <cell r="L184">
            <v>0</v>
          </cell>
          <cell r="M184">
            <v>0</v>
          </cell>
          <cell r="N184">
            <v>0</v>
          </cell>
          <cell r="O184">
            <v>110</v>
          </cell>
        </row>
        <row r="185">
          <cell r="A185">
            <v>46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210</v>
          </cell>
          <cell r="J185">
            <v>87</v>
          </cell>
          <cell r="K185">
            <v>57</v>
          </cell>
          <cell r="L185">
            <v>0</v>
          </cell>
          <cell r="M185">
            <v>0</v>
          </cell>
          <cell r="N185">
            <v>0</v>
          </cell>
          <cell r="O185">
            <v>108</v>
          </cell>
        </row>
        <row r="186">
          <cell r="A186">
            <v>46.25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203.75</v>
          </cell>
          <cell r="J186">
            <v>85.5</v>
          </cell>
          <cell r="K186">
            <v>55.5</v>
          </cell>
          <cell r="L186">
            <v>0</v>
          </cell>
          <cell r="M186">
            <v>0</v>
          </cell>
          <cell r="N186">
            <v>0</v>
          </cell>
          <cell r="O186">
            <v>102</v>
          </cell>
        </row>
        <row r="187">
          <cell r="A187">
            <v>46.33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205</v>
          </cell>
          <cell r="J187">
            <v>86</v>
          </cell>
          <cell r="K187">
            <v>56</v>
          </cell>
          <cell r="L187">
            <v>0</v>
          </cell>
          <cell r="M187">
            <v>0</v>
          </cell>
          <cell r="N187">
            <v>0</v>
          </cell>
          <cell r="O187">
            <v>104</v>
          </cell>
        </row>
        <row r="188">
          <cell r="A188">
            <v>46.5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207.5</v>
          </cell>
          <cell r="J188">
            <v>86.5</v>
          </cell>
          <cell r="K188">
            <v>56.5</v>
          </cell>
          <cell r="L188">
            <v>0</v>
          </cell>
          <cell r="M188">
            <v>0</v>
          </cell>
          <cell r="N188">
            <v>0</v>
          </cell>
          <cell r="O188">
            <v>106</v>
          </cell>
        </row>
        <row r="189">
          <cell r="A189">
            <v>47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205</v>
          </cell>
          <cell r="J189">
            <v>86</v>
          </cell>
          <cell r="K189">
            <v>56</v>
          </cell>
          <cell r="L189">
            <v>0</v>
          </cell>
          <cell r="M189">
            <v>0</v>
          </cell>
          <cell r="N189">
            <v>0</v>
          </cell>
          <cell r="O189">
            <v>104</v>
          </cell>
        </row>
        <row r="190">
          <cell r="A190">
            <v>47.25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201.25</v>
          </cell>
          <cell r="J190">
            <v>84.5</v>
          </cell>
          <cell r="K190">
            <v>54.5</v>
          </cell>
          <cell r="L190">
            <v>0</v>
          </cell>
          <cell r="M190">
            <v>0</v>
          </cell>
          <cell r="N190">
            <v>0</v>
          </cell>
          <cell r="O190">
            <v>98</v>
          </cell>
        </row>
        <row r="191">
          <cell r="A191">
            <v>47.33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201.67</v>
          </cell>
          <cell r="J191">
            <v>85</v>
          </cell>
          <cell r="K191">
            <v>55</v>
          </cell>
          <cell r="L191">
            <v>0</v>
          </cell>
          <cell r="M191">
            <v>0</v>
          </cell>
          <cell r="N191">
            <v>0</v>
          </cell>
          <cell r="O191">
            <v>100</v>
          </cell>
        </row>
        <row r="192">
          <cell r="A192">
            <v>47.5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202.5</v>
          </cell>
          <cell r="J192">
            <v>85.5</v>
          </cell>
          <cell r="K192">
            <v>55.5</v>
          </cell>
          <cell r="L192">
            <v>0</v>
          </cell>
          <cell r="M192">
            <v>0</v>
          </cell>
          <cell r="N192">
            <v>0</v>
          </cell>
          <cell r="O192">
            <v>102</v>
          </cell>
        </row>
        <row r="193">
          <cell r="A193">
            <v>48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200</v>
          </cell>
          <cell r="J193">
            <v>85</v>
          </cell>
          <cell r="K193">
            <v>55</v>
          </cell>
          <cell r="L193">
            <v>0</v>
          </cell>
          <cell r="M193">
            <v>0</v>
          </cell>
          <cell r="N193">
            <v>0</v>
          </cell>
          <cell r="O193">
            <v>100</v>
          </cell>
        </row>
        <row r="194">
          <cell r="A194">
            <v>48.25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200</v>
          </cell>
          <cell r="J194">
            <v>83.5</v>
          </cell>
          <cell r="K194">
            <v>53.5</v>
          </cell>
          <cell r="L194">
            <v>0</v>
          </cell>
          <cell r="M194">
            <v>0</v>
          </cell>
          <cell r="N194">
            <v>0</v>
          </cell>
          <cell r="O194">
            <v>94</v>
          </cell>
        </row>
        <row r="195">
          <cell r="A195">
            <v>48.33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200</v>
          </cell>
          <cell r="J195">
            <v>84</v>
          </cell>
          <cell r="K195">
            <v>54</v>
          </cell>
          <cell r="L195">
            <v>0</v>
          </cell>
          <cell r="M195">
            <v>0</v>
          </cell>
          <cell r="N195">
            <v>0</v>
          </cell>
          <cell r="O195">
            <v>96</v>
          </cell>
        </row>
        <row r="196">
          <cell r="A196">
            <v>48.5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200</v>
          </cell>
          <cell r="J196">
            <v>84.5</v>
          </cell>
          <cell r="K196">
            <v>54.5</v>
          </cell>
          <cell r="L196">
            <v>0</v>
          </cell>
          <cell r="M196">
            <v>0</v>
          </cell>
          <cell r="N196">
            <v>0</v>
          </cell>
          <cell r="O196">
            <v>98</v>
          </cell>
        </row>
        <row r="197">
          <cell r="A197">
            <v>48.99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200</v>
          </cell>
          <cell r="J197">
            <v>84.5</v>
          </cell>
          <cell r="K197">
            <v>54.5</v>
          </cell>
          <cell r="L197">
            <v>0</v>
          </cell>
          <cell r="M197">
            <v>0</v>
          </cell>
          <cell r="N197">
            <v>0</v>
          </cell>
          <cell r="O197">
            <v>98</v>
          </cell>
        </row>
        <row r="198">
          <cell r="A198">
            <v>49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84</v>
          </cell>
          <cell r="K198">
            <v>54</v>
          </cell>
          <cell r="L198">
            <v>0</v>
          </cell>
          <cell r="M198">
            <v>0</v>
          </cell>
          <cell r="N198">
            <v>0</v>
          </cell>
          <cell r="O198">
            <v>96</v>
          </cell>
        </row>
        <row r="199">
          <cell r="A199">
            <v>49.25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82.5</v>
          </cell>
          <cell r="K199">
            <v>52.5</v>
          </cell>
          <cell r="L199">
            <v>0</v>
          </cell>
          <cell r="M199">
            <v>0</v>
          </cell>
          <cell r="N199">
            <v>0</v>
          </cell>
          <cell r="O199">
            <v>90</v>
          </cell>
        </row>
        <row r="200">
          <cell r="A200">
            <v>49.33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83</v>
          </cell>
          <cell r="K200">
            <v>53</v>
          </cell>
          <cell r="L200">
            <v>0</v>
          </cell>
          <cell r="M200">
            <v>0</v>
          </cell>
          <cell r="N200">
            <v>0</v>
          </cell>
          <cell r="O200">
            <v>92</v>
          </cell>
        </row>
        <row r="201">
          <cell r="A201">
            <v>49.5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83.5</v>
          </cell>
          <cell r="K201">
            <v>53.5</v>
          </cell>
          <cell r="L201">
            <v>0</v>
          </cell>
          <cell r="M201">
            <v>0</v>
          </cell>
          <cell r="N201">
            <v>0</v>
          </cell>
          <cell r="O201">
            <v>94</v>
          </cell>
        </row>
        <row r="202">
          <cell r="A202">
            <v>50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83</v>
          </cell>
          <cell r="K202">
            <v>53</v>
          </cell>
          <cell r="L202">
            <v>0</v>
          </cell>
          <cell r="M202">
            <v>0</v>
          </cell>
          <cell r="N202">
            <v>0</v>
          </cell>
          <cell r="O202">
            <v>92</v>
          </cell>
        </row>
        <row r="203">
          <cell r="A203">
            <v>50.25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81.5</v>
          </cell>
          <cell r="K203">
            <v>51.5</v>
          </cell>
          <cell r="L203">
            <v>0</v>
          </cell>
          <cell r="M203">
            <v>0</v>
          </cell>
          <cell r="N203">
            <v>0</v>
          </cell>
          <cell r="O203">
            <v>86</v>
          </cell>
        </row>
        <row r="204">
          <cell r="A204">
            <v>50.33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82</v>
          </cell>
          <cell r="K204">
            <v>52</v>
          </cell>
          <cell r="L204">
            <v>0</v>
          </cell>
          <cell r="M204">
            <v>0</v>
          </cell>
          <cell r="N204">
            <v>0</v>
          </cell>
          <cell r="O204">
            <v>88</v>
          </cell>
        </row>
        <row r="205">
          <cell r="A205">
            <v>50.5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82.5</v>
          </cell>
          <cell r="K205">
            <v>52.5</v>
          </cell>
          <cell r="L205">
            <v>0</v>
          </cell>
          <cell r="M205">
            <v>0</v>
          </cell>
          <cell r="N205">
            <v>0</v>
          </cell>
          <cell r="O205">
            <v>90</v>
          </cell>
        </row>
        <row r="206">
          <cell r="A206">
            <v>51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82</v>
          </cell>
          <cell r="K206">
            <v>52</v>
          </cell>
          <cell r="L206">
            <v>0</v>
          </cell>
          <cell r="M206">
            <v>0</v>
          </cell>
          <cell r="N206">
            <v>0</v>
          </cell>
          <cell r="O206">
            <v>88</v>
          </cell>
        </row>
        <row r="207">
          <cell r="A207">
            <v>51.25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80.5</v>
          </cell>
          <cell r="K207">
            <v>50.5</v>
          </cell>
          <cell r="L207">
            <v>0</v>
          </cell>
          <cell r="M207">
            <v>0</v>
          </cell>
          <cell r="N207">
            <v>0</v>
          </cell>
          <cell r="O207">
            <v>82</v>
          </cell>
        </row>
        <row r="208">
          <cell r="A208">
            <v>51.33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81</v>
          </cell>
          <cell r="K208">
            <v>51</v>
          </cell>
          <cell r="L208">
            <v>0</v>
          </cell>
          <cell r="M208">
            <v>0</v>
          </cell>
          <cell r="N208">
            <v>0</v>
          </cell>
          <cell r="O208">
            <v>84</v>
          </cell>
        </row>
        <row r="209">
          <cell r="A209">
            <v>51.5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81.5</v>
          </cell>
          <cell r="K209">
            <v>51.5</v>
          </cell>
          <cell r="L209">
            <v>0</v>
          </cell>
          <cell r="M209">
            <v>0</v>
          </cell>
          <cell r="N209">
            <v>0</v>
          </cell>
          <cell r="O209">
            <v>86</v>
          </cell>
        </row>
        <row r="210">
          <cell r="A210">
            <v>52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81</v>
          </cell>
          <cell r="K210">
            <v>51</v>
          </cell>
          <cell r="L210">
            <v>0</v>
          </cell>
          <cell r="M210">
            <v>0</v>
          </cell>
          <cell r="N210">
            <v>0</v>
          </cell>
          <cell r="O210">
            <v>84</v>
          </cell>
        </row>
        <row r="211">
          <cell r="A211">
            <v>52.25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79.5</v>
          </cell>
          <cell r="K211">
            <v>49.5</v>
          </cell>
          <cell r="L211">
            <v>0</v>
          </cell>
          <cell r="M211">
            <v>0</v>
          </cell>
          <cell r="N211">
            <v>0</v>
          </cell>
          <cell r="O211">
            <v>78</v>
          </cell>
        </row>
        <row r="212">
          <cell r="A212">
            <v>52.33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80</v>
          </cell>
          <cell r="K212">
            <v>50</v>
          </cell>
          <cell r="L212">
            <v>0</v>
          </cell>
          <cell r="M212">
            <v>0</v>
          </cell>
          <cell r="N212">
            <v>0</v>
          </cell>
          <cell r="O212">
            <v>80</v>
          </cell>
        </row>
        <row r="213">
          <cell r="A213">
            <v>52.5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80.5</v>
          </cell>
          <cell r="K213">
            <v>50.5</v>
          </cell>
          <cell r="L213">
            <v>0</v>
          </cell>
          <cell r="M213">
            <v>0</v>
          </cell>
          <cell r="N213">
            <v>0</v>
          </cell>
          <cell r="O213">
            <v>82</v>
          </cell>
        </row>
        <row r="214">
          <cell r="A214">
            <v>53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80</v>
          </cell>
          <cell r="K214">
            <v>50</v>
          </cell>
          <cell r="L214">
            <v>0</v>
          </cell>
          <cell r="M214">
            <v>0</v>
          </cell>
          <cell r="N214">
            <v>0</v>
          </cell>
          <cell r="O214">
            <v>80</v>
          </cell>
        </row>
        <row r="215">
          <cell r="A215">
            <v>53.25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78.5</v>
          </cell>
          <cell r="K215">
            <v>48.5</v>
          </cell>
          <cell r="L215">
            <v>0</v>
          </cell>
          <cell r="M215">
            <v>0</v>
          </cell>
          <cell r="N215">
            <v>0</v>
          </cell>
          <cell r="O215">
            <v>74</v>
          </cell>
        </row>
        <row r="216">
          <cell r="A216">
            <v>53.33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79</v>
          </cell>
          <cell r="K216">
            <v>49</v>
          </cell>
          <cell r="L216">
            <v>0</v>
          </cell>
          <cell r="M216">
            <v>0</v>
          </cell>
          <cell r="N216">
            <v>0</v>
          </cell>
          <cell r="O216">
            <v>76</v>
          </cell>
        </row>
        <row r="217">
          <cell r="A217">
            <v>53.5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79.5</v>
          </cell>
          <cell r="K217">
            <v>49.5</v>
          </cell>
          <cell r="L217">
            <v>0</v>
          </cell>
          <cell r="M217">
            <v>0</v>
          </cell>
          <cell r="N217">
            <v>0</v>
          </cell>
          <cell r="O217">
            <v>78</v>
          </cell>
        </row>
        <row r="218">
          <cell r="A218">
            <v>54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79</v>
          </cell>
          <cell r="K218">
            <v>49</v>
          </cell>
          <cell r="L218">
            <v>0</v>
          </cell>
          <cell r="M218">
            <v>0</v>
          </cell>
          <cell r="N218">
            <v>0</v>
          </cell>
          <cell r="O218">
            <v>76</v>
          </cell>
        </row>
        <row r="219">
          <cell r="A219">
            <v>54.25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77.5</v>
          </cell>
          <cell r="K219">
            <v>47.5</v>
          </cell>
          <cell r="L219">
            <v>0</v>
          </cell>
          <cell r="M219">
            <v>0</v>
          </cell>
          <cell r="N219">
            <v>0</v>
          </cell>
          <cell r="O219">
            <v>70</v>
          </cell>
        </row>
        <row r="220">
          <cell r="A220">
            <v>54.33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78</v>
          </cell>
          <cell r="K220">
            <v>48</v>
          </cell>
          <cell r="L220">
            <v>0</v>
          </cell>
          <cell r="M220">
            <v>0</v>
          </cell>
          <cell r="N220">
            <v>0</v>
          </cell>
          <cell r="O220">
            <v>72</v>
          </cell>
        </row>
        <row r="221">
          <cell r="A221">
            <v>54.5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78.5</v>
          </cell>
          <cell r="K221">
            <v>48.5</v>
          </cell>
          <cell r="L221">
            <v>0</v>
          </cell>
          <cell r="M221">
            <v>0</v>
          </cell>
          <cell r="N221">
            <v>0</v>
          </cell>
          <cell r="O221">
            <v>74</v>
          </cell>
        </row>
        <row r="222">
          <cell r="A222">
            <v>55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78</v>
          </cell>
          <cell r="K222">
            <v>48</v>
          </cell>
          <cell r="L222">
            <v>0</v>
          </cell>
          <cell r="M222">
            <v>0</v>
          </cell>
          <cell r="N222">
            <v>0</v>
          </cell>
          <cell r="O222">
            <v>72</v>
          </cell>
        </row>
        <row r="223">
          <cell r="A223">
            <v>55.25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76.5</v>
          </cell>
          <cell r="K223">
            <v>46.5</v>
          </cell>
          <cell r="L223">
            <v>0</v>
          </cell>
          <cell r="M223">
            <v>0</v>
          </cell>
          <cell r="N223">
            <v>0</v>
          </cell>
          <cell r="O223">
            <v>66</v>
          </cell>
        </row>
        <row r="224">
          <cell r="A224">
            <v>55.33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77</v>
          </cell>
          <cell r="K224">
            <v>47</v>
          </cell>
          <cell r="L224">
            <v>0</v>
          </cell>
          <cell r="M224">
            <v>0</v>
          </cell>
          <cell r="N224">
            <v>0</v>
          </cell>
          <cell r="O224">
            <v>68</v>
          </cell>
        </row>
        <row r="225">
          <cell r="A225">
            <v>55.5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77.5</v>
          </cell>
          <cell r="K225">
            <v>47.5</v>
          </cell>
          <cell r="L225">
            <v>0</v>
          </cell>
          <cell r="M225">
            <v>0</v>
          </cell>
          <cell r="N225">
            <v>0</v>
          </cell>
          <cell r="O225">
            <v>70</v>
          </cell>
        </row>
        <row r="226">
          <cell r="A226">
            <v>56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77</v>
          </cell>
          <cell r="K226">
            <v>47</v>
          </cell>
          <cell r="L226">
            <v>0</v>
          </cell>
          <cell r="M226">
            <v>0</v>
          </cell>
          <cell r="N226">
            <v>0</v>
          </cell>
          <cell r="O226">
            <v>68</v>
          </cell>
        </row>
        <row r="227">
          <cell r="A227">
            <v>56.25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75.5</v>
          </cell>
          <cell r="K227">
            <v>45.5</v>
          </cell>
          <cell r="L227">
            <v>0</v>
          </cell>
          <cell r="M227">
            <v>0</v>
          </cell>
          <cell r="N227">
            <v>0</v>
          </cell>
          <cell r="O227">
            <v>62</v>
          </cell>
        </row>
        <row r="228">
          <cell r="A228">
            <v>56.33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76</v>
          </cell>
          <cell r="K228">
            <v>46</v>
          </cell>
          <cell r="L228">
            <v>0</v>
          </cell>
          <cell r="M228">
            <v>0</v>
          </cell>
          <cell r="N228">
            <v>0</v>
          </cell>
          <cell r="O228">
            <v>64</v>
          </cell>
        </row>
        <row r="229">
          <cell r="A229">
            <v>56.5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76.5</v>
          </cell>
          <cell r="K229">
            <v>46.5</v>
          </cell>
          <cell r="L229">
            <v>0</v>
          </cell>
          <cell r="M229">
            <v>0</v>
          </cell>
          <cell r="N229">
            <v>0</v>
          </cell>
          <cell r="O229">
            <v>66</v>
          </cell>
        </row>
        <row r="230">
          <cell r="A230">
            <v>57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76</v>
          </cell>
          <cell r="K230">
            <v>46</v>
          </cell>
          <cell r="L230">
            <v>0</v>
          </cell>
          <cell r="M230">
            <v>0</v>
          </cell>
          <cell r="N230">
            <v>0</v>
          </cell>
          <cell r="O230">
            <v>64</v>
          </cell>
        </row>
        <row r="231">
          <cell r="A231">
            <v>57.25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74.5</v>
          </cell>
          <cell r="K231">
            <v>44.5</v>
          </cell>
          <cell r="L231">
            <v>0</v>
          </cell>
          <cell r="M231">
            <v>0</v>
          </cell>
          <cell r="N231">
            <v>0</v>
          </cell>
          <cell r="O231">
            <v>58</v>
          </cell>
        </row>
        <row r="232">
          <cell r="A232">
            <v>57.33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75</v>
          </cell>
          <cell r="K232">
            <v>45</v>
          </cell>
          <cell r="L232">
            <v>0</v>
          </cell>
          <cell r="M232">
            <v>0</v>
          </cell>
          <cell r="N232">
            <v>0</v>
          </cell>
          <cell r="O232">
            <v>60</v>
          </cell>
        </row>
        <row r="233">
          <cell r="A233">
            <v>57.5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75.5</v>
          </cell>
          <cell r="K233">
            <v>45.5</v>
          </cell>
          <cell r="L233">
            <v>0</v>
          </cell>
          <cell r="M233">
            <v>0</v>
          </cell>
          <cell r="N233">
            <v>0</v>
          </cell>
          <cell r="O233">
            <v>62</v>
          </cell>
        </row>
        <row r="234">
          <cell r="A234">
            <v>58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75</v>
          </cell>
          <cell r="K234">
            <v>45</v>
          </cell>
          <cell r="L234">
            <v>0</v>
          </cell>
          <cell r="M234">
            <v>0</v>
          </cell>
          <cell r="N234">
            <v>0</v>
          </cell>
          <cell r="O234">
            <v>60</v>
          </cell>
        </row>
        <row r="235">
          <cell r="A235">
            <v>58.25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73.5</v>
          </cell>
          <cell r="K235">
            <v>43.5</v>
          </cell>
          <cell r="L235">
            <v>0</v>
          </cell>
          <cell r="M235">
            <v>0</v>
          </cell>
          <cell r="N235">
            <v>0</v>
          </cell>
          <cell r="O235">
            <v>54</v>
          </cell>
        </row>
        <row r="236">
          <cell r="A236">
            <v>58.33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74</v>
          </cell>
          <cell r="K236">
            <v>44</v>
          </cell>
          <cell r="L236">
            <v>0</v>
          </cell>
          <cell r="M236">
            <v>0</v>
          </cell>
          <cell r="N236">
            <v>0</v>
          </cell>
          <cell r="O236">
            <v>56</v>
          </cell>
        </row>
        <row r="237">
          <cell r="A237">
            <v>58.5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74.5</v>
          </cell>
          <cell r="K237">
            <v>44.5</v>
          </cell>
          <cell r="L237">
            <v>0</v>
          </cell>
          <cell r="M237">
            <v>0</v>
          </cell>
          <cell r="N237">
            <v>0</v>
          </cell>
          <cell r="O237">
            <v>58</v>
          </cell>
        </row>
        <row r="238">
          <cell r="A238">
            <v>59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74</v>
          </cell>
          <cell r="K238">
            <v>44</v>
          </cell>
          <cell r="L238">
            <v>0</v>
          </cell>
          <cell r="M238">
            <v>0</v>
          </cell>
          <cell r="N238">
            <v>0</v>
          </cell>
          <cell r="O238">
            <v>56</v>
          </cell>
        </row>
        <row r="239">
          <cell r="A239">
            <v>59.25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72.5</v>
          </cell>
          <cell r="K239">
            <v>42.5</v>
          </cell>
          <cell r="L239">
            <v>0</v>
          </cell>
          <cell r="M239">
            <v>0</v>
          </cell>
          <cell r="N239">
            <v>0</v>
          </cell>
          <cell r="O239">
            <v>50</v>
          </cell>
        </row>
        <row r="240">
          <cell r="A240">
            <v>59.33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73</v>
          </cell>
          <cell r="K240">
            <v>43</v>
          </cell>
          <cell r="L240">
            <v>0</v>
          </cell>
          <cell r="M240">
            <v>0</v>
          </cell>
          <cell r="N240">
            <v>0</v>
          </cell>
          <cell r="O240">
            <v>52</v>
          </cell>
        </row>
        <row r="241">
          <cell r="A241">
            <v>59.5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73.5</v>
          </cell>
          <cell r="K241">
            <v>43.5</v>
          </cell>
          <cell r="L241">
            <v>0</v>
          </cell>
          <cell r="M241">
            <v>0</v>
          </cell>
          <cell r="N241">
            <v>0</v>
          </cell>
          <cell r="O241">
            <v>54</v>
          </cell>
        </row>
        <row r="242">
          <cell r="A242">
            <v>60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73</v>
          </cell>
          <cell r="K242">
            <v>43</v>
          </cell>
          <cell r="L242">
            <v>0</v>
          </cell>
          <cell r="M242">
            <v>0</v>
          </cell>
          <cell r="N242">
            <v>0</v>
          </cell>
          <cell r="O242">
            <v>52</v>
          </cell>
        </row>
        <row r="243">
          <cell r="A243">
            <v>60.25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71.5</v>
          </cell>
          <cell r="K243">
            <v>41.5</v>
          </cell>
          <cell r="L243">
            <v>0</v>
          </cell>
          <cell r="M243">
            <v>0</v>
          </cell>
          <cell r="N243">
            <v>0</v>
          </cell>
          <cell r="O243">
            <v>46</v>
          </cell>
        </row>
        <row r="244">
          <cell r="A244">
            <v>60.33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72</v>
          </cell>
          <cell r="K244">
            <v>42</v>
          </cell>
          <cell r="L244">
            <v>0</v>
          </cell>
          <cell r="M244">
            <v>0</v>
          </cell>
          <cell r="N244">
            <v>0</v>
          </cell>
          <cell r="O244">
            <v>48</v>
          </cell>
        </row>
        <row r="245">
          <cell r="A245">
            <v>60.5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72.5</v>
          </cell>
          <cell r="K245">
            <v>42.5</v>
          </cell>
          <cell r="L245">
            <v>0</v>
          </cell>
          <cell r="M245">
            <v>0</v>
          </cell>
          <cell r="N245">
            <v>0</v>
          </cell>
          <cell r="O245">
            <v>50</v>
          </cell>
        </row>
        <row r="246">
          <cell r="A246">
            <v>61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72</v>
          </cell>
          <cell r="K246">
            <v>42</v>
          </cell>
          <cell r="L246">
            <v>0</v>
          </cell>
          <cell r="M246">
            <v>0</v>
          </cell>
          <cell r="N246">
            <v>0</v>
          </cell>
          <cell r="O246">
            <v>48</v>
          </cell>
        </row>
        <row r="247">
          <cell r="A247">
            <v>61.25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70.5</v>
          </cell>
          <cell r="K247">
            <v>40.5</v>
          </cell>
          <cell r="L247">
            <v>0</v>
          </cell>
          <cell r="M247">
            <v>0</v>
          </cell>
          <cell r="N247">
            <v>0</v>
          </cell>
          <cell r="O247">
            <v>42</v>
          </cell>
        </row>
        <row r="248">
          <cell r="A248">
            <v>61.33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71</v>
          </cell>
          <cell r="K248">
            <v>41</v>
          </cell>
          <cell r="L248">
            <v>0</v>
          </cell>
          <cell r="M248">
            <v>0</v>
          </cell>
          <cell r="N248">
            <v>0</v>
          </cell>
          <cell r="O248">
            <v>44</v>
          </cell>
        </row>
        <row r="249">
          <cell r="A249">
            <v>61.5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71.5</v>
          </cell>
          <cell r="K249">
            <v>41.5</v>
          </cell>
          <cell r="L249">
            <v>0</v>
          </cell>
          <cell r="M249">
            <v>0</v>
          </cell>
          <cell r="N249">
            <v>0</v>
          </cell>
          <cell r="O249">
            <v>46</v>
          </cell>
        </row>
        <row r="250">
          <cell r="A250">
            <v>62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71</v>
          </cell>
          <cell r="K250">
            <v>41</v>
          </cell>
          <cell r="L250">
            <v>0</v>
          </cell>
          <cell r="M250">
            <v>0</v>
          </cell>
          <cell r="N250">
            <v>0</v>
          </cell>
          <cell r="O250">
            <v>44</v>
          </cell>
        </row>
        <row r="251">
          <cell r="A251">
            <v>62.25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69.75</v>
          </cell>
          <cell r="K251">
            <v>39.75</v>
          </cell>
          <cell r="L251">
            <v>0</v>
          </cell>
          <cell r="M251">
            <v>0</v>
          </cell>
          <cell r="N251">
            <v>0</v>
          </cell>
          <cell r="O251">
            <v>39</v>
          </cell>
        </row>
        <row r="252">
          <cell r="A252">
            <v>62.33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70</v>
          </cell>
          <cell r="K252">
            <v>40</v>
          </cell>
          <cell r="L252">
            <v>0</v>
          </cell>
          <cell r="M252">
            <v>0</v>
          </cell>
          <cell r="N252">
            <v>0</v>
          </cell>
          <cell r="O252">
            <v>40</v>
          </cell>
        </row>
        <row r="253">
          <cell r="A253">
            <v>62.5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70.5</v>
          </cell>
          <cell r="K253">
            <v>40.5</v>
          </cell>
          <cell r="L253">
            <v>0</v>
          </cell>
          <cell r="M253">
            <v>0</v>
          </cell>
          <cell r="N253">
            <v>0</v>
          </cell>
          <cell r="O253">
            <v>42</v>
          </cell>
        </row>
        <row r="254">
          <cell r="A254">
            <v>63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70</v>
          </cell>
          <cell r="K254">
            <v>40</v>
          </cell>
          <cell r="L254">
            <v>0</v>
          </cell>
          <cell r="M254">
            <v>0</v>
          </cell>
          <cell r="N254">
            <v>0</v>
          </cell>
          <cell r="O254">
            <v>40</v>
          </cell>
        </row>
        <row r="255">
          <cell r="A255">
            <v>63.25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69.25</v>
          </cell>
          <cell r="K255">
            <v>39.25</v>
          </cell>
          <cell r="L255">
            <v>0</v>
          </cell>
          <cell r="M255">
            <v>0</v>
          </cell>
          <cell r="N255">
            <v>0</v>
          </cell>
          <cell r="O255">
            <v>37</v>
          </cell>
        </row>
        <row r="256">
          <cell r="A256">
            <v>63.33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69.33</v>
          </cell>
          <cell r="K256">
            <v>39.33</v>
          </cell>
          <cell r="L256">
            <v>0</v>
          </cell>
          <cell r="M256">
            <v>0</v>
          </cell>
          <cell r="N256">
            <v>0</v>
          </cell>
          <cell r="O256">
            <v>37.33</v>
          </cell>
        </row>
        <row r="257">
          <cell r="A257">
            <v>63.5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69.5</v>
          </cell>
          <cell r="K257">
            <v>39.5</v>
          </cell>
          <cell r="L257">
            <v>0</v>
          </cell>
          <cell r="M257">
            <v>0</v>
          </cell>
          <cell r="N257">
            <v>0</v>
          </cell>
          <cell r="O257">
            <v>38</v>
          </cell>
        </row>
        <row r="258">
          <cell r="A258">
            <v>64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69</v>
          </cell>
          <cell r="K258">
            <v>39</v>
          </cell>
          <cell r="L258">
            <v>0</v>
          </cell>
          <cell r="M258">
            <v>0</v>
          </cell>
          <cell r="N258">
            <v>0</v>
          </cell>
          <cell r="O258">
            <v>36</v>
          </cell>
        </row>
        <row r="259">
          <cell r="A259">
            <v>64.25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69</v>
          </cell>
          <cell r="K259">
            <v>39</v>
          </cell>
          <cell r="L259">
            <v>0</v>
          </cell>
          <cell r="M259">
            <v>0</v>
          </cell>
          <cell r="N259">
            <v>0</v>
          </cell>
          <cell r="O259">
            <v>36</v>
          </cell>
        </row>
        <row r="260">
          <cell r="A260">
            <v>64.33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69</v>
          </cell>
          <cell r="K260">
            <v>39</v>
          </cell>
          <cell r="L260">
            <v>0</v>
          </cell>
          <cell r="M260">
            <v>0</v>
          </cell>
          <cell r="N260">
            <v>0</v>
          </cell>
          <cell r="O260">
            <v>36</v>
          </cell>
        </row>
        <row r="261">
          <cell r="A261">
            <v>64.5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69</v>
          </cell>
          <cell r="K261">
            <v>39</v>
          </cell>
          <cell r="L261">
            <v>0</v>
          </cell>
          <cell r="M261">
            <v>0</v>
          </cell>
          <cell r="N261">
            <v>0</v>
          </cell>
          <cell r="O261">
            <v>36</v>
          </cell>
        </row>
        <row r="262">
          <cell r="A262">
            <v>64.99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69</v>
          </cell>
          <cell r="K262">
            <v>39</v>
          </cell>
          <cell r="L262">
            <v>0</v>
          </cell>
          <cell r="M262">
            <v>0</v>
          </cell>
          <cell r="N262">
            <v>0</v>
          </cell>
          <cell r="O262">
            <v>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M104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18" customWidth="1"/>
    <col min="2" max="2" width="3.28125" style="18" customWidth="1"/>
    <col min="3" max="3" width="27.421875" style="37" customWidth="1"/>
    <col min="4" max="4" width="5.421875" style="18" customWidth="1"/>
    <col min="5" max="5" width="8.00390625" style="18" customWidth="1"/>
    <col min="6" max="7" width="5.7109375" style="19" customWidth="1"/>
    <col min="8" max="8" width="5.421875" style="19" customWidth="1"/>
    <col min="9" max="13" width="5.421875" style="28" customWidth="1"/>
    <col min="14" max="14" width="5.28125" style="29" customWidth="1"/>
    <col min="15" max="17" width="4.7109375" style="29" customWidth="1"/>
    <col min="18" max="18" width="9.140625" style="25" customWidth="1"/>
    <col min="19" max="34" width="9.140625" style="25" hidden="1" customWidth="1"/>
    <col min="35" max="16384" width="9.140625" style="25" customWidth="1"/>
  </cols>
  <sheetData>
    <row r="1" spans="1:17" s="8" customFormat="1" ht="12.75" customHeight="1">
      <c r="A1" s="1"/>
      <c r="B1" s="1"/>
      <c r="C1" s="2" t="s">
        <v>0</v>
      </c>
      <c r="D1" s="3" t="s">
        <v>1</v>
      </c>
      <c r="E1" s="3" t="s">
        <v>2</v>
      </c>
      <c r="F1" s="4" t="s">
        <v>3</v>
      </c>
      <c r="G1" s="5"/>
      <c r="H1" s="4" t="s">
        <v>245</v>
      </c>
      <c r="I1" s="6"/>
      <c r="J1" s="4" t="s">
        <v>310</v>
      </c>
      <c r="K1" s="6"/>
      <c r="L1" s="4" t="s">
        <v>382</v>
      </c>
      <c r="M1" s="6"/>
      <c r="N1" s="7" t="s">
        <v>4</v>
      </c>
      <c r="O1" s="7"/>
      <c r="P1" s="7"/>
      <c r="Q1" s="6"/>
    </row>
    <row r="2" spans="1:27" s="8" customFormat="1" ht="18.75" customHeight="1">
      <c r="A2" s="1"/>
      <c r="B2" s="1"/>
      <c r="C2" s="2"/>
      <c r="D2" s="2"/>
      <c r="E2" s="3"/>
      <c r="F2" s="4" t="s">
        <v>376</v>
      </c>
      <c r="G2" s="9" t="s">
        <v>377</v>
      </c>
      <c r="H2" s="4" t="s">
        <v>236</v>
      </c>
      <c r="I2" s="6" t="s">
        <v>246</v>
      </c>
      <c r="J2" s="4" t="s">
        <v>236</v>
      </c>
      <c r="K2" s="6" t="s">
        <v>311</v>
      </c>
      <c r="L2" s="4" t="s">
        <v>381</v>
      </c>
      <c r="M2" s="6" t="s">
        <v>383</v>
      </c>
      <c r="N2" s="4" t="s">
        <v>4</v>
      </c>
      <c r="O2" s="7"/>
      <c r="P2" s="10"/>
      <c r="Q2" s="11"/>
      <c r="AA2" s="12"/>
    </row>
    <row r="3" spans="1:21" s="8" customFormat="1" ht="11.25" customHeight="1" hidden="1">
      <c r="A3" s="1">
        <v>1</v>
      </c>
      <c r="B3" s="42" t="b">
        <v>0</v>
      </c>
      <c r="C3" s="2"/>
      <c r="D3" s="2"/>
      <c r="E3" s="2"/>
      <c r="F3" s="13"/>
      <c r="G3" s="14"/>
      <c r="H3" s="14">
        <f>COLUMN()</f>
        <v>8</v>
      </c>
      <c r="I3" s="15">
        <f>HLOOKUP(H2,PointTableHeader,2,FALSE)</f>
        <v>9</v>
      </c>
      <c r="J3" s="14">
        <f>COLUMN()</f>
        <v>10</v>
      </c>
      <c r="K3" s="15">
        <f>HLOOKUP(J2,PointTableHeader,2,FALSE)</f>
        <v>9</v>
      </c>
      <c r="L3" s="14">
        <f>COLUMN()</f>
        <v>12</v>
      </c>
      <c r="M3" s="15">
        <f>HLOOKUP(L2,PointTableHeader,2,FALSE)</f>
        <v>8</v>
      </c>
      <c r="N3" s="14">
        <f>COLUMN()</f>
        <v>14</v>
      </c>
      <c r="O3" s="3"/>
      <c r="P3" s="7"/>
      <c r="Q3" s="6"/>
      <c r="S3" s="8" t="b">
        <v>1</v>
      </c>
      <c r="T3" s="8" t="b">
        <v>1</v>
      </c>
      <c r="U3" s="8" t="b">
        <v>1</v>
      </c>
    </row>
    <row r="4" spans="1:34" ht="13.5">
      <c r="A4" s="16" t="str">
        <f aca="true" t="shared" si="0" ref="A4:A60">IF(E4&lt;MinimumSr,"",IF(E4=E3,A3,ROW()-3&amp;IF(E4=E5,"T","")))</f>
        <v>1</v>
      </c>
      <c r="B4" s="16">
        <f aca="true" t="shared" si="1" ref="B4:B38">TRIM(IF(D4&gt;=JuniorCutoff,"#",""))</f>
      </c>
      <c r="C4" s="17" t="s">
        <v>7</v>
      </c>
      <c r="D4" s="18">
        <v>1970</v>
      </c>
      <c r="E4" s="19">
        <f>ROUND(F4+IF('Men''s Epée'!$A$3=1,G4,0)+LARGE($S4:$Y4,1)+LARGE($S4:$Y4,2),0)</f>
        <v>3383</v>
      </c>
      <c r="F4" s="20">
        <v>2048.3959999999997</v>
      </c>
      <c r="G4" s="21"/>
      <c r="H4" s="21">
        <v>7</v>
      </c>
      <c r="I4" s="22">
        <f aca="true" t="shared" si="2" ref="I4:I35">IF(OR($A$3=1,$S$3=TRUE),IF(OR(H4&gt;=49,ISNUMBER(H4)=FALSE),0,VLOOKUP(H4,PointTable,I$3,TRUE)),0)</f>
        <v>715</v>
      </c>
      <c r="J4" s="21">
        <v>9</v>
      </c>
      <c r="K4" s="22">
        <f aca="true" t="shared" si="3" ref="K4:K35">IF(OR($A$3=1,$T$3=TRUE),IF(OR(J4&gt;=49,ISNUMBER(J4)=FALSE),0,VLOOKUP(J4,PointTable,K$3,TRUE)),0)</f>
        <v>620</v>
      </c>
      <c r="L4" s="21" t="s">
        <v>5</v>
      </c>
      <c r="M4" s="22">
        <f aca="true" t="shared" si="4" ref="M4:M35">IF(OR($A$3=1,$U$3=TRUE),IF(OR(L4&gt;=49,ISNUMBER(L4)=FALSE),0,VLOOKUP(L4,PointTable,M$3,TRUE)),0)</f>
        <v>0</v>
      </c>
      <c r="N4" s="23">
        <v>382.14</v>
      </c>
      <c r="O4" s="23">
        <v>184</v>
      </c>
      <c r="P4" s="23">
        <v>-359.19</v>
      </c>
      <c r="Q4" s="24"/>
      <c r="S4" s="25">
        <f>I4</f>
        <v>715</v>
      </c>
      <c r="T4" s="25">
        <f aca="true" t="shared" si="5" ref="T4:T25">K4</f>
        <v>620</v>
      </c>
      <c r="U4" s="25">
        <f aca="true" t="shared" si="6" ref="U4:U25">M4</f>
        <v>0</v>
      </c>
      <c r="V4" s="25">
        <f aca="true" t="shared" si="7" ref="V4:Y25">IF(OR($A$3=1,N4&gt;0),ABS(N4),0)</f>
        <v>382.14</v>
      </c>
      <c r="W4" s="25">
        <f t="shared" si="7"/>
        <v>184</v>
      </c>
      <c r="X4" s="25">
        <f t="shared" si="7"/>
        <v>359.19</v>
      </c>
      <c r="Y4" s="25">
        <f>IF(OR($A$3=1,Q4&gt;0),ABS(Q4),0)</f>
        <v>0</v>
      </c>
      <c r="AA4" s="12">
        <f>IF('Men''s Epée'!$S$3=TRUE,I4,0)</f>
        <v>715</v>
      </c>
      <c r="AB4" s="12">
        <f>IF('Men''s Epée'!$T$3=TRUE,K4,0)</f>
        <v>620</v>
      </c>
      <c r="AC4" s="12">
        <f>IF('Men''s Epée'!$U$3=TRUE,M4,0)</f>
        <v>0</v>
      </c>
      <c r="AD4" s="26">
        <f>MAX(N4,0)</f>
        <v>382.14</v>
      </c>
      <c r="AE4" s="26">
        <f>MAX(O4,0)</f>
        <v>184</v>
      </c>
      <c r="AF4" s="26">
        <f>MAX(P4,0)</f>
        <v>0</v>
      </c>
      <c r="AG4" s="26">
        <f>MAX(Q4,0)</f>
        <v>0</v>
      </c>
      <c r="AH4" s="12">
        <f>ROUND(LARGE(AA4:AG4,1)+LARGE(AA4:AG4,2)+F4,0)</f>
        <v>3383</v>
      </c>
    </row>
    <row r="5" spans="1:34" ht="13.5">
      <c r="A5" s="16" t="str">
        <f>IF(E5&lt;MinimumSr,"",IF(E5=E4,A4,ROW()-3&amp;IF(E5=E6,"T","")))</f>
        <v>2</v>
      </c>
      <c r="B5" s="16">
        <f t="shared" si="1"/>
      </c>
      <c r="C5" s="17" t="s">
        <v>10</v>
      </c>
      <c r="D5" s="18">
        <v>1975</v>
      </c>
      <c r="E5" s="19">
        <f>ROUND(F5+IF('Men''s Epée'!$A$3=1,G5,0)+LARGE($S5:$Y5,1)+LARGE($S5:$Y5,2),0)</f>
        <v>3244</v>
      </c>
      <c r="F5" s="20">
        <v>2023.734</v>
      </c>
      <c r="G5" s="21"/>
      <c r="H5" s="21">
        <v>9</v>
      </c>
      <c r="I5" s="22">
        <f t="shared" si="2"/>
        <v>620</v>
      </c>
      <c r="J5" s="21">
        <v>21</v>
      </c>
      <c r="K5" s="22">
        <f t="shared" si="3"/>
        <v>395</v>
      </c>
      <c r="L5" s="21">
        <v>17</v>
      </c>
      <c r="M5" s="22">
        <f t="shared" si="4"/>
        <v>350</v>
      </c>
      <c r="N5" s="23">
        <v>600.168</v>
      </c>
      <c r="O5" s="23">
        <v>581.256</v>
      </c>
      <c r="P5" s="23">
        <v>507.96</v>
      </c>
      <c r="Q5" s="24">
        <v>290.184</v>
      </c>
      <c r="S5" s="25">
        <f aca="true" t="shared" si="8" ref="S5:S25">I5</f>
        <v>620</v>
      </c>
      <c r="T5" s="25">
        <f t="shared" si="5"/>
        <v>395</v>
      </c>
      <c r="U5" s="25">
        <f t="shared" si="6"/>
        <v>350</v>
      </c>
      <c r="V5" s="25">
        <f t="shared" si="7"/>
        <v>600.168</v>
      </c>
      <c r="W5" s="25">
        <f t="shared" si="7"/>
        <v>581.256</v>
      </c>
      <c r="X5" s="25">
        <f t="shared" si="7"/>
        <v>507.96</v>
      </c>
      <c r="Y5" s="25">
        <f t="shared" si="7"/>
        <v>290.184</v>
      </c>
      <c r="AA5" s="12">
        <f>IF('Men''s Epée'!$S$3=TRUE,I5,0)</f>
        <v>620</v>
      </c>
      <c r="AB5" s="12">
        <f>IF('Men''s Epée'!$T$3=TRUE,K5,0)</f>
        <v>395</v>
      </c>
      <c r="AC5" s="12">
        <f>IF('Men''s Epée'!$U$3=TRUE,M5,0)</f>
        <v>350</v>
      </c>
      <c r="AD5" s="26">
        <f aca="true" t="shared" si="9" ref="AD5:AG25">MAX(N5,0)</f>
        <v>600.168</v>
      </c>
      <c r="AE5" s="26">
        <f t="shared" si="9"/>
        <v>581.256</v>
      </c>
      <c r="AF5" s="26">
        <f t="shared" si="9"/>
        <v>507.96</v>
      </c>
      <c r="AG5" s="26">
        <f t="shared" si="9"/>
        <v>290.184</v>
      </c>
      <c r="AH5" s="12">
        <f aca="true" t="shared" si="10" ref="AH5:AH47">ROUND(LARGE(AA5:AG5,1)+LARGE(AA5:AG5,2)+F5,0)</f>
        <v>3244</v>
      </c>
    </row>
    <row r="6" spans="1:39" ht="13.5">
      <c r="A6" s="16" t="str">
        <f t="shared" si="0"/>
        <v>3</v>
      </c>
      <c r="B6" s="16">
        <f t="shared" si="1"/>
      </c>
      <c r="C6" s="17" t="s">
        <v>179</v>
      </c>
      <c r="D6" s="18">
        <v>1971</v>
      </c>
      <c r="E6" s="19">
        <f>ROUND(F6+IF('Men''s Epée'!$A$3=1,G6,0)+LARGE($S6:$Y6,1)+LARGE($S6:$Y6,2),0)</f>
        <v>2760</v>
      </c>
      <c r="F6" s="20">
        <v>1375.2359999999999</v>
      </c>
      <c r="G6" s="21"/>
      <c r="H6" s="21">
        <v>8</v>
      </c>
      <c r="I6" s="22">
        <f t="shared" si="2"/>
        <v>695</v>
      </c>
      <c r="J6" s="21">
        <v>26</v>
      </c>
      <c r="K6" s="22">
        <f t="shared" si="3"/>
        <v>310</v>
      </c>
      <c r="L6" s="21">
        <v>7</v>
      </c>
      <c r="M6" s="22">
        <f t="shared" si="4"/>
        <v>690</v>
      </c>
      <c r="N6" s="23">
        <v>338.652</v>
      </c>
      <c r="O6" s="23">
        <v>310.752</v>
      </c>
      <c r="P6" s="23">
        <v>284.76</v>
      </c>
      <c r="Q6" s="24"/>
      <c r="S6" s="25">
        <f t="shared" si="8"/>
        <v>695</v>
      </c>
      <c r="T6" s="25">
        <f t="shared" si="5"/>
        <v>310</v>
      </c>
      <c r="U6" s="25">
        <f t="shared" si="6"/>
        <v>690</v>
      </c>
      <c r="V6" s="25">
        <f t="shared" si="7"/>
        <v>338.652</v>
      </c>
      <c r="W6" s="25">
        <f t="shared" si="7"/>
        <v>310.752</v>
      </c>
      <c r="X6" s="25">
        <f t="shared" si="7"/>
        <v>284.76</v>
      </c>
      <c r="Y6" s="25">
        <f t="shared" si="7"/>
        <v>0</v>
      </c>
      <c r="AA6" s="12">
        <f>IF('Men''s Epée'!$S$3=TRUE,I6,0)</f>
        <v>695</v>
      </c>
      <c r="AB6" s="12">
        <f>IF('Men''s Epée'!$T$3=TRUE,K6,0)</f>
        <v>310</v>
      </c>
      <c r="AC6" s="12">
        <f>IF('Men''s Epée'!$U$3=TRUE,M6,0)</f>
        <v>690</v>
      </c>
      <c r="AD6" s="26">
        <f t="shared" si="9"/>
        <v>338.652</v>
      </c>
      <c r="AE6" s="26">
        <f t="shared" si="9"/>
        <v>310.752</v>
      </c>
      <c r="AF6" s="26">
        <f t="shared" si="9"/>
        <v>284.76</v>
      </c>
      <c r="AG6" s="26">
        <f t="shared" si="9"/>
        <v>0</v>
      </c>
      <c r="AH6" s="12">
        <f t="shared" si="10"/>
        <v>2760</v>
      </c>
      <c r="AJ6" s="41"/>
      <c r="AK6" s="41"/>
      <c r="AL6" s="41"/>
      <c r="AM6" s="41"/>
    </row>
    <row r="7" spans="1:39" ht="13.5">
      <c r="A7" s="16" t="str">
        <f t="shared" si="0"/>
        <v>4</v>
      </c>
      <c r="B7" s="16">
        <f t="shared" si="1"/>
      </c>
      <c r="C7" s="27" t="s">
        <v>11</v>
      </c>
      <c r="D7" s="18">
        <v>1981</v>
      </c>
      <c r="E7" s="19">
        <f>ROUND(F7+IF('Men''s Epée'!$A$3=1,G7,0)+LARGE($S7:$Y7,1)+LARGE($S7:$Y7,2),0)</f>
        <v>2559</v>
      </c>
      <c r="F7" s="20">
        <v>1562.352</v>
      </c>
      <c r="G7" s="21"/>
      <c r="H7" s="21" t="s">
        <v>5</v>
      </c>
      <c r="I7" s="22">
        <f t="shared" si="2"/>
        <v>0</v>
      </c>
      <c r="J7" s="21" t="s">
        <v>5</v>
      </c>
      <c r="K7" s="22">
        <f t="shared" si="3"/>
        <v>0</v>
      </c>
      <c r="L7" s="21">
        <v>8</v>
      </c>
      <c r="M7" s="22">
        <f t="shared" si="4"/>
        <v>685</v>
      </c>
      <c r="N7" s="23">
        <v>-311.298</v>
      </c>
      <c r="O7" s="23"/>
      <c r="P7" s="23"/>
      <c r="Q7" s="24"/>
      <c r="S7" s="25">
        <f t="shared" si="8"/>
        <v>0</v>
      </c>
      <c r="T7" s="25">
        <f t="shared" si="5"/>
        <v>0</v>
      </c>
      <c r="U7" s="25">
        <f t="shared" si="6"/>
        <v>685</v>
      </c>
      <c r="V7" s="25">
        <f t="shared" si="7"/>
        <v>311.298</v>
      </c>
      <c r="W7" s="25">
        <f t="shared" si="7"/>
        <v>0</v>
      </c>
      <c r="X7" s="25">
        <f t="shared" si="7"/>
        <v>0</v>
      </c>
      <c r="Y7" s="25">
        <f t="shared" si="7"/>
        <v>0</v>
      </c>
      <c r="AA7" s="12">
        <f>IF('Men''s Epée'!$S$3=TRUE,I7,0)</f>
        <v>0</v>
      </c>
      <c r="AB7" s="12">
        <f>IF('Men''s Epée'!$T$3=TRUE,K7,0)</f>
        <v>0</v>
      </c>
      <c r="AC7" s="12">
        <f>IF('Men''s Epée'!$U$3=TRUE,M7,0)</f>
        <v>685</v>
      </c>
      <c r="AD7" s="26">
        <f t="shared" si="9"/>
        <v>0</v>
      </c>
      <c r="AE7" s="26">
        <f t="shared" si="9"/>
        <v>0</v>
      </c>
      <c r="AF7" s="26">
        <f t="shared" si="9"/>
        <v>0</v>
      </c>
      <c r="AG7" s="26">
        <f t="shared" si="9"/>
        <v>0</v>
      </c>
      <c r="AH7" s="12">
        <f t="shared" si="10"/>
        <v>2247</v>
      </c>
      <c r="AJ7" s="41"/>
      <c r="AK7" s="41"/>
      <c r="AL7" s="41"/>
      <c r="AM7" s="41"/>
    </row>
    <row r="8" spans="1:39" ht="13.5">
      <c r="A8" s="16" t="str">
        <f t="shared" si="0"/>
        <v>5</v>
      </c>
      <c r="B8" s="16">
        <f t="shared" si="1"/>
      </c>
      <c r="C8" s="17" t="s">
        <v>142</v>
      </c>
      <c r="D8" s="18">
        <v>1981</v>
      </c>
      <c r="E8" s="19">
        <f>ROUND(F8+IF('Men''s Epée'!$A$3=1,G8,0)+LARGE($S8:$Y8,1)+LARGE($S8:$Y8,2),0)</f>
        <v>2547</v>
      </c>
      <c r="F8" s="20">
        <v>851.56</v>
      </c>
      <c r="G8" s="21"/>
      <c r="H8" s="21">
        <v>12</v>
      </c>
      <c r="I8" s="22">
        <f t="shared" si="2"/>
        <v>575</v>
      </c>
      <c r="J8" s="21">
        <v>8</v>
      </c>
      <c r="K8" s="22">
        <f t="shared" si="3"/>
        <v>695</v>
      </c>
      <c r="L8" s="21">
        <v>1</v>
      </c>
      <c r="M8" s="22">
        <f t="shared" si="4"/>
        <v>1000</v>
      </c>
      <c r="N8" s="23"/>
      <c r="O8" s="23"/>
      <c r="P8" s="23"/>
      <c r="Q8" s="24"/>
      <c r="S8" s="25">
        <f t="shared" si="8"/>
        <v>575</v>
      </c>
      <c r="T8" s="25">
        <f t="shared" si="5"/>
        <v>695</v>
      </c>
      <c r="U8" s="25">
        <f t="shared" si="6"/>
        <v>1000</v>
      </c>
      <c r="V8" s="25">
        <f t="shared" si="7"/>
        <v>0</v>
      </c>
      <c r="W8" s="25">
        <f t="shared" si="7"/>
        <v>0</v>
      </c>
      <c r="X8" s="25">
        <f t="shared" si="7"/>
        <v>0</v>
      </c>
      <c r="Y8" s="25">
        <f t="shared" si="7"/>
        <v>0</v>
      </c>
      <c r="AA8" s="12">
        <f>IF('Men''s Epée'!$S$3=TRUE,I8,0)</f>
        <v>575</v>
      </c>
      <c r="AB8" s="12">
        <f>IF('Men''s Epée'!$T$3=TRUE,K8,0)</f>
        <v>695</v>
      </c>
      <c r="AC8" s="12">
        <f>IF('Men''s Epée'!$U$3=TRUE,M8,0)</f>
        <v>1000</v>
      </c>
      <c r="AD8" s="26">
        <f t="shared" si="9"/>
        <v>0</v>
      </c>
      <c r="AE8" s="26">
        <f t="shared" si="9"/>
        <v>0</v>
      </c>
      <c r="AF8" s="26">
        <f t="shared" si="9"/>
        <v>0</v>
      </c>
      <c r="AG8" s="26">
        <f t="shared" si="9"/>
        <v>0</v>
      </c>
      <c r="AH8" s="12">
        <f t="shared" si="10"/>
        <v>2547</v>
      </c>
      <c r="AJ8" s="41"/>
      <c r="AK8" s="41"/>
      <c r="AL8" s="41"/>
      <c r="AM8" s="41"/>
    </row>
    <row r="9" spans="1:39" ht="13.5">
      <c r="A9" s="16" t="str">
        <f t="shared" si="0"/>
        <v>6</v>
      </c>
      <c r="B9" s="16">
        <f t="shared" si="1"/>
      </c>
      <c r="C9" s="17" t="s">
        <v>105</v>
      </c>
      <c r="D9" s="18">
        <v>1981</v>
      </c>
      <c r="E9" s="19">
        <f>ROUND(F9+IF('Men''s Epée'!$A$3=1,G9,0)+LARGE($S9:$Y9,1)+LARGE($S9:$Y9,2),0)</f>
        <v>2376</v>
      </c>
      <c r="F9" s="20">
        <v>455.638</v>
      </c>
      <c r="G9" s="21"/>
      <c r="H9" s="21">
        <v>1</v>
      </c>
      <c r="I9" s="22">
        <f t="shared" si="2"/>
        <v>1000</v>
      </c>
      <c r="J9" s="21">
        <v>39</v>
      </c>
      <c r="K9" s="22">
        <f t="shared" si="3"/>
        <v>245</v>
      </c>
      <c r="L9" s="21">
        <v>2</v>
      </c>
      <c r="M9" s="22">
        <f t="shared" si="4"/>
        <v>920</v>
      </c>
      <c r="N9" s="23"/>
      <c r="O9" s="23"/>
      <c r="P9" s="23"/>
      <c r="Q9" s="24"/>
      <c r="S9" s="25">
        <f t="shared" si="8"/>
        <v>1000</v>
      </c>
      <c r="T9" s="25">
        <f>K9</f>
        <v>245</v>
      </c>
      <c r="U9" s="25">
        <f>M9</f>
        <v>920</v>
      </c>
      <c r="V9" s="25">
        <f t="shared" si="7"/>
        <v>0</v>
      </c>
      <c r="W9" s="25">
        <f t="shared" si="7"/>
        <v>0</v>
      </c>
      <c r="X9" s="25">
        <f t="shared" si="7"/>
        <v>0</v>
      </c>
      <c r="Y9" s="25">
        <f t="shared" si="7"/>
        <v>0</v>
      </c>
      <c r="AA9" s="12">
        <f>IF('Men''s Epée'!$S$3=TRUE,I9,0)</f>
        <v>1000</v>
      </c>
      <c r="AB9" s="12">
        <f>IF('Men''s Epée'!$T$3=TRUE,K9,0)</f>
        <v>245</v>
      </c>
      <c r="AC9" s="12">
        <f>IF('Men''s Epée'!$U$3=TRUE,M9,0)</f>
        <v>920</v>
      </c>
      <c r="AD9" s="26">
        <f t="shared" si="9"/>
        <v>0</v>
      </c>
      <c r="AE9" s="26">
        <f t="shared" si="9"/>
        <v>0</v>
      </c>
      <c r="AF9" s="26">
        <f t="shared" si="9"/>
        <v>0</v>
      </c>
      <c r="AG9" s="26">
        <f t="shared" si="9"/>
        <v>0</v>
      </c>
      <c r="AH9" s="12">
        <f t="shared" si="10"/>
        <v>2376</v>
      </c>
      <c r="AJ9" s="41"/>
      <c r="AK9" s="41"/>
      <c r="AL9" s="41"/>
      <c r="AM9" s="41"/>
    </row>
    <row r="10" spans="1:39" ht="13.5">
      <c r="A10" s="16" t="str">
        <f t="shared" si="0"/>
        <v>7</v>
      </c>
      <c r="B10" s="16">
        <f t="shared" si="1"/>
      </c>
      <c r="C10" s="38" t="s">
        <v>205</v>
      </c>
      <c r="D10" s="36">
        <v>1973</v>
      </c>
      <c r="E10" s="19">
        <f>ROUND(F10+IF('Men''s Epée'!$A$3=1,G10,0)+LARGE($S10:$Y10,1)+LARGE($S10:$Y10,2),0)</f>
        <v>1814</v>
      </c>
      <c r="F10" s="20">
        <v>736.68</v>
      </c>
      <c r="G10" s="21"/>
      <c r="H10" s="21">
        <v>5</v>
      </c>
      <c r="I10" s="22">
        <f t="shared" si="2"/>
        <v>755</v>
      </c>
      <c r="J10" s="21">
        <v>36</v>
      </c>
      <c r="K10" s="22">
        <f t="shared" si="3"/>
        <v>260</v>
      </c>
      <c r="L10" s="21">
        <v>28</v>
      </c>
      <c r="M10" s="22">
        <f t="shared" si="4"/>
        <v>295</v>
      </c>
      <c r="N10" s="23">
        <v>-322.35</v>
      </c>
      <c r="O10" s="23"/>
      <c r="P10" s="23"/>
      <c r="Q10" s="24"/>
      <c r="S10" s="25">
        <f t="shared" si="8"/>
        <v>755</v>
      </c>
      <c r="T10" s="25">
        <f t="shared" si="5"/>
        <v>260</v>
      </c>
      <c r="U10" s="25">
        <f t="shared" si="6"/>
        <v>295</v>
      </c>
      <c r="V10" s="25">
        <f t="shared" si="7"/>
        <v>322.35</v>
      </c>
      <c r="W10" s="25">
        <f t="shared" si="7"/>
        <v>0</v>
      </c>
      <c r="X10" s="25">
        <f t="shared" si="7"/>
        <v>0</v>
      </c>
      <c r="Y10" s="25">
        <f t="shared" si="7"/>
        <v>0</v>
      </c>
      <c r="AA10" s="12">
        <f>IF('Men''s Epée'!$S$3=TRUE,I10,0)</f>
        <v>755</v>
      </c>
      <c r="AB10" s="12">
        <f>IF('Men''s Epée'!$T$3=TRUE,K10,0)</f>
        <v>260</v>
      </c>
      <c r="AC10" s="12">
        <f>IF('Men''s Epée'!$U$3=TRUE,M10,0)</f>
        <v>295</v>
      </c>
      <c r="AD10" s="26">
        <f t="shared" si="9"/>
        <v>0</v>
      </c>
      <c r="AE10" s="26">
        <f t="shared" si="9"/>
        <v>0</v>
      </c>
      <c r="AF10" s="26">
        <f t="shared" si="9"/>
        <v>0</v>
      </c>
      <c r="AG10" s="26">
        <f t="shared" si="9"/>
        <v>0</v>
      </c>
      <c r="AH10" s="12">
        <f t="shared" si="10"/>
        <v>1787</v>
      </c>
      <c r="AJ10" s="41"/>
      <c r="AK10" s="41"/>
      <c r="AL10" s="41"/>
      <c r="AM10" s="41"/>
    </row>
    <row r="11" spans="1:39" ht="13.5">
      <c r="A11" s="16" t="str">
        <f t="shared" si="0"/>
        <v>8</v>
      </c>
      <c r="B11" s="16">
        <f t="shared" si="1"/>
      </c>
      <c r="C11" s="17" t="s">
        <v>14</v>
      </c>
      <c r="D11" s="18">
        <v>1969</v>
      </c>
      <c r="E11" s="19">
        <f>ROUND(F11+IF('Men''s Epée'!$A$3=1,G11,0)+LARGE($S11:$Y11,1)+LARGE($S11:$Y11,2),0)</f>
        <v>1778</v>
      </c>
      <c r="F11" s="20">
        <v>88</v>
      </c>
      <c r="G11" s="21"/>
      <c r="H11" s="21">
        <v>42</v>
      </c>
      <c r="I11" s="22">
        <f t="shared" si="2"/>
        <v>230</v>
      </c>
      <c r="J11" s="21">
        <v>3</v>
      </c>
      <c r="K11" s="22">
        <f t="shared" si="3"/>
        <v>840</v>
      </c>
      <c r="L11" s="21">
        <v>3</v>
      </c>
      <c r="M11" s="22">
        <f t="shared" si="4"/>
        <v>850</v>
      </c>
      <c r="N11" s="23">
        <v>-353.664</v>
      </c>
      <c r="O11" s="23"/>
      <c r="P11" s="23"/>
      <c r="Q11" s="24"/>
      <c r="S11" s="25">
        <f t="shared" si="8"/>
        <v>230</v>
      </c>
      <c r="T11" s="25">
        <f t="shared" si="5"/>
        <v>840</v>
      </c>
      <c r="U11" s="25">
        <f t="shared" si="6"/>
        <v>850</v>
      </c>
      <c r="V11" s="25">
        <f t="shared" si="7"/>
        <v>353.664</v>
      </c>
      <c r="W11" s="25">
        <f t="shared" si="7"/>
        <v>0</v>
      </c>
      <c r="X11" s="25">
        <f t="shared" si="7"/>
        <v>0</v>
      </c>
      <c r="Y11" s="25">
        <f t="shared" si="7"/>
        <v>0</v>
      </c>
      <c r="AA11" s="12">
        <f>IF('Men''s Epée'!$S$3=TRUE,I11,0)</f>
        <v>230</v>
      </c>
      <c r="AB11" s="12">
        <f>IF('Men''s Epée'!$T$3=TRUE,K11,0)</f>
        <v>840</v>
      </c>
      <c r="AC11" s="12">
        <f>IF('Men''s Epée'!$U$3=TRUE,M11,0)</f>
        <v>850</v>
      </c>
      <c r="AD11" s="26">
        <f t="shared" si="9"/>
        <v>0</v>
      </c>
      <c r="AE11" s="26">
        <f t="shared" si="9"/>
        <v>0</v>
      </c>
      <c r="AF11" s="26">
        <f t="shared" si="9"/>
        <v>0</v>
      </c>
      <c r="AG11" s="26">
        <f t="shared" si="9"/>
        <v>0</v>
      </c>
      <c r="AH11" s="12">
        <f t="shared" si="10"/>
        <v>1778</v>
      </c>
      <c r="AJ11" s="41"/>
      <c r="AK11" s="41"/>
      <c r="AL11" s="41"/>
      <c r="AM11" s="41"/>
    </row>
    <row r="12" spans="1:39" ht="13.5">
      <c r="A12" s="16" t="str">
        <f t="shared" si="0"/>
        <v>9</v>
      </c>
      <c r="B12" s="16">
        <f t="shared" si="1"/>
      </c>
      <c r="C12" s="17" t="s">
        <v>322</v>
      </c>
      <c r="D12" s="18">
        <v>1976</v>
      </c>
      <c r="E12" s="19">
        <f>ROUND(F12+IF('Men''s Epée'!$A$3=1,G12,0)+LARGE($S12:$Y12,1)+LARGE($S12:$Y12,2),0)</f>
        <v>1626</v>
      </c>
      <c r="F12" s="20">
        <v>216</v>
      </c>
      <c r="G12" s="21"/>
      <c r="H12" s="21">
        <v>31</v>
      </c>
      <c r="I12" s="22">
        <f t="shared" si="2"/>
        <v>285</v>
      </c>
      <c r="J12" s="21">
        <v>7</v>
      </c>
      <c r="K12" s="22">
        <f t="shared" si="3"/>
        <v>715</v>
      </c>
      <c r="L12" s="21">
        <v>6</v>
      </c>
      <c r="M12" s="22">
        <f t="shared" si="4"/>
        <v>695</v>
      </c>
      <c r="N12" s="23"/>
      <c r="O12" s="23"/>
      <c r="P12" s="23"/>
      <c r="Q12" s="24"/>
      <c r="S12" s="25">
        <f t="shared" si="8"/>
        <v>285</v>
      </c>
      <c r="T12" s="25">
        <f t="shared" si="5"/>
        <v>715</v>
      </c>
      <c r="U12" s="25">
        <f t="shared" si="6"/>
        <v>695</v>
      </c>
      <c r="V12" s="25">
        <f t="shared" si="7"/>
        <v>0</v>
      </c>
      <c r="W12" s="25">
        <f t="shared" si="7"/>
        <v>0</v>
      </c>
      <c r="X12" s="25">
        <f t="shared" si="7"/>
        <v>0</v>
      </c>
      <c r="Y12" s="25">
        <f t="shared" si="7"/>
        <v>0</v>
      </c>
      <c r="AA12" s="12">
        <f>IF('Men''s Epée'!$S$3=TRUE,I12,0)</f>
        <v>285</v>
      </c>
      <c r="AB12" s="12">
        <f>IF('Men''s Epée'!$T$3=TRUE,K12,0)</f>
        <v>715</v>
      </c>
      <c r="AC12" s="12">
        <f>IF('Men''s Epée'!$U$3=TRUE,M12,0)</f>
        <v>695</v>
      </c>
      <c r="AD12" s="26">
        <f t="shared" si="9"/>
        <v>0</v>
      </c>
      <c r="AE12" s="26">
        <f t="shared" si="9"/>
        <v>0</v>
      </c>
      <c r="AF12" s="26">
        <f t="shared" si="9"/>
        <v>0</v>
      </c>
      <c r="AG12" s="26">
        <f t="shared" si="9"/>
        <v>0</v>
      </c>
      <c r="AH12" s="12">
        <f t="shared" si="10"/>
        <v>1626</v>
      </c>
      <c r="AJ12" s="41"/>
      <c r="AK12" s="41"/>
      <c r="AL12" s="41"/>
      <c r="AM12" s="41"/>
    </row>
    <row r="13" spans="1:34" ht="13.5">
      <c r="A13" s="16" t="str">
        <f t="shared" si="0"/>
        <v>10</v>
      </c>
      <c r="B13" s="16">
        <f t="shared" si="1"/>
      </c>
      <c r="C13" s="17" t="s">
        <v>6</v>
      </c>
      <c r="D13" s="18">
        <v>1967</v>
      </c>
      <c r="E13" s="19">
        <f>ROUND(F13+IF('Men''s Epée'!$A$3=1,G13,0)+LARGE($S13:$Y13,1)+LARGE($S13:$Y13,2),0)</f>
        <v>1460</v>
      </c>
      <c r="F13" s="20"/>
      <c r="G13" s="21"/>
      <c r="H13" s="21">
        <v>30</v>
      </c>
      <c r="I13" s="22">
        <f t="shared" si="2"/>
        <v>290</v>
      </c>
      <c r="J13" s="21">
        <v>2</v>
      </c>
      <c r="K13" s="22">
        <f t="shared" si="3"/>
        <v>925</v>
      </c>
      <c r="L13" s="21">
        <v>9</v>
      </c>
      <c r="M13" s="22">
        <f t="shared" si="4"/>
        <v>535</v>
      </c>
      <c r="N13" s="23"/>
      <c r="O13" s="23"/>
      <c r="P13" s="23"/>
      <c r="Q13" s="24"/>
      <c r="S13" s="25">
        <f t="shared" si="8"/>
        <v>290</v>
      </c>
      <c r="T13" s="25">
        <f t="shared" si="5"/>
        <v>925</v>
      </c>
      <c r="U13" s="25">
        <f t="shared" si="6"/>
        <v>535</v>
      </c>
      <c r="V13" s="25">
        <f t="shared" si="7"/>
        <v>0</v>
      </c>
      <c r="W13" s="25">
        <f t="shared" si="7"/>
        <v>0</v>
      </c>
      <c r="X13" s="25">
        <f t="shared" si="7"/>
        <v>0</v>
      </c>
      <c r="Y13" s="25">
        <f t="shared" si="7"/>
        <v>0</v>
      </c>
      <c r="AA13" s="12">
        <f>IF('Men''s Epée'!$S$3=TRUE,I13,0)</f>
        <v>290</v>
      </c>
      <c r="AB13" s="12">
        <f>IF('Men''s Epée'!$T$3=TRUE,K13,0)</f>
        <v>925</v>
      </c>
      <c r="AC13" s="12">
        <f>IF('Men''s Epée'!$U$3=TRUE,M13,0)</f>
        <v>535</v>
      </c>
      <c r="AD13" s="26">
        <f t="shared" si="9"/>
        <v>0</v>
      </c>
      <c r="AE13" s="26">
        <f t="shared" si="9"/>
        <v>0</v>
      </c>
      <c r="AF13" s="26">
        <f t="shared" si="9"/>
        <v>0</v>
      </c>
      <c r="AG13" s="26">
        <f t="shared" si="9"/>
        <v>0</v>
      </c>
      <c r="AH13" s="12">
        <f t="shared" si="10"/>
        <v>1460</v>
      </c>
    </row>
    <row r="14" spans="1:34" ht="13.5">
      <c r="A14" s="16" t="str">
        <f t="shared" si="0"/>
        <v>11</v>
      </c>
      <c r="B14" s="16">
        <f t="shared" si="1"/>
      </c>
      <c r="C14" s="17" t="s">
        <v>190</v>
      </c>
      <c r="D14" s="18">
        <v>1974</v>
      </c>
      <c r="E14" s="19">
        <f>ROUND(F14+IF('Men''s Epée'!$A$3=1,G14,0)+LARGE($S14:$Y14,1)+LARGE($S14:$Y14,2),0)</f>
        <v>1436</v>
      </c>
      <c r="F14" s="20">
        <v>331.122</v>
      </c>
      <c r="G14" s="21"/>
      <c r="H14" s="21">
        <v>16</v>
      </c>
      <c r="I14" s="22">
        <f t="shared" si="2"/>
        <v>480</v>
      </c>
      <c r="J14" s="21">
        <v>12</v>
      </c>
      <c r="K14" s="22">
        <f t="shared" si="3"/>
        <v>575</v>
      </c>
      <c r="L14" s="21">
        <v>10</v>
      </c>
      <c r="M14" s="22">
        <f t="shared" si="4"/>
        <v>530</v>
      </c>
      <c r="N14" s="23"/>
      <c r="O14" s="23"/>
      <c r="P14" s="23"/>
      <c r="Q14" s="24"/>
      <c r="S14" s="25">
        <f t="shared" si="8"/>
        <v>480</v>
      </c>
      <c r="T14" s="25">
        <f t="shared" si="5"/>
        <v>575</v>
      </c>
      <c r="U14" s="25">
        <f t="shared" si="6"/>
        <v>530</v>
      </c>
      <c r="V14" s="25">
        <f t="shared" si="7"/>
        <v>0</v>
      </c>
      <c r="W14" s="25">
        <f t="shared" si="7"/>
        <v>0</v>
      </c>
      <c r="X14" s="25">
        <f t="shared" si="7"/>
        <v>0</v>
      </c>
      <c r="Y14" s="25">
        <f t="shared" si="7"/>
        <v>0</v>
      </c>
      <c r="AA14" s="12">
        <f>IF('Men''s Epée'!$S$3=TRUE,I14,0)</f>
        <v>480</v>
      </c>
      <c r="AB14" s="12">
        <f>IF('Men''s Epée'!$T$3=TRUE,K14,0)</f>
        <v>575</v>
      </c>
      <c r="AC14" s="12">
        <f>IF('Men''s Epée'!$U$3=TRUE,M14,0)</f>
        <v>530</v>
      </c>
      <c r="AD14" s="26">
        <f t="shared" si="9"/>
        <v>0</v>
      </c>
      <c r="AE14" s="26">
        <f t="shared" si="9"/>
        <v>0</v>
      </c>
      <c r="AF14" s="26">
        <f t="shared" si="9"/>
        <v>0</v>
      </c>
      <c r="AG14" s="26">
        <f t="shared" si="9"/>
        <v>0</v>
      </c>
      <c r="AH14" s="12">
        <f t="shared" si="10"/>
        <v>1436</v>
      </c>
    </row>
    <row r="15" spans="1:34" ht="13.5">
      <c r="A15" s="16" t="str">
        <f t="shared" si="0"/>
        <v>12T</v>
      </c>
      <c r="B15" s="16" t="str">
        <f t="shared" si="1"/>
        <v>#</v>
      </c>
      <c r="C15" s="17" t="s">
        <v>299</v>
      </c>
      <c r="D15" s="18">
        <v>1983</v>
      </c>
      <c r="E15" s="19">
        <f>ROUND(F15+IF('Men''s Epée'!$A$3=1,G15,0)+LARGE($S15:$Y15,1)+LARGE($S15:$Y15,2),0)</f>
        <v>1260</v>
      </c>
      <c r="F15" s="20"/>
      <c r="G15" s="21"/>
      <c r="H15" s="21">
        <v>6</v>
      </c>
      <c r="I15" s="22">
        <f t="shared" si="2"/>
        <v>735</v>
      </c>
      <c r="J15" s="21">
        <v>25</v>
      </c>
      <c r="K15" s="22">
        <f t="shared" si="3"/>
        <v>315</v>
      </c>
      <c r="L15" s="21">
        <v>11</v>
      </c>
      <c r="M15" s="22">
        <f t="shared" si="4"/>
        <v>525</v>
      </c>
      <c r="N15" s="23"/>
      <c r="O15" s="23"/>
      <c r="P15" s="23"/>
      <c r="Q15" s="24"/>
      <c r="S15" s="25">
        <f t="shared" si="8"/>
        <v>735</v>
      </c>
      <c r="T15" s="25">
        <f t="shared" si="5"/>
        <v>315</v>
      </c>
      <c r="U15" s="25">
        <f t="shared" si="6"/>
        <v>525</v>
      </c>
      <c r="V15" s="25">
        <f t="shared" si="7"/>
        <v>0</v>
      </c>
      <c r="W15" s="25">
        <f t="shared" si="7"/>
        <v>0</v>
      </c>
      <c r="X15" s="25">
        <f t="shared" si="7"/>
        <v>0</v>
      </c>
      <c r="Y15" s="25">
        <f t="shared" si="7"/>
        <v>0</v>
      </c>
      <c r="AA15" s="12">
        <f>IF('Men''s Epée'!$S$3=TRUE,I15,0)</f>
        <v>735</v>
      </c>
      <c r="AB15" s="12">
        <f>IF('Men''s Epée'!$T$3=TRUE,K15,0)</f>
        <v>315</v>
      </c>
      <c r="AC15" s="12">
        <f>IF('Men''s Epée'!$U$3=TRUE,M15,0)</f>
        <v>525</v>
      </c>
      <c r="AD15" s="26">
        <f t="shared" si="9"/>
        <v>0</v>
      </c>
      <c r="AE15" s="26">
        <f t="shared" si="9"/>
        <v>0</v>
      </c>
      <c r="AF15" s="26">
        <f t="shared" si="9"/>
        <v>0</v>
      </c>
      <c r="AG15" s="26">
        <f t="shared" si="9"/>
        <v>0</v>
      </c>
      <c r="AH15" s="12">
        <f t="shared" si="10"/>
        <v>1260</v>
      </c>
    </row>
    <row r="16" spans="1:34" ht="13.5">
      <c r="A16" s="16" t="str">
        <f t="shared" si="0"/>
        <v>12T</v>
      </c>
      <c r="B16" s="16">
        <f t="shared" si="1"/>
      </c>
      <c r="C16" s="17" t="s">
        <v>108</v>
      </c>
      <c r="D16" s="18">
        <v>1981</v>
      </c>
      <c r="E16" s="19">
        <f>ROUND(F16+IF('Men''s Epée'!$A$3=1,G16,0)+LARGE($S16:$Y16,1)+LARGE($S16:$Y16,2),0)</f>
        <v>1260</v>
      </c>
      <c r="F16" s="20"/>
      <c r="G16" s="21"/>
      <c r="H16" s="21">
        <v>13</v>
      </c>
      <c r="I16" s="22">
        <f t="shared" si="2"/>
        <v>525</v>
      </c>
      <c r="J16" s="21">
        <v>6</v>
      </c>
      <c r="K16" s="22">
        <f t="shared" si="3"/>
        <v>735</v>
      </c>
      <c r="L16" s="21">
        <v>13</v>
      </c>
      <c r="M16" s="22">
        <f t="shared" si="4"/>
        <v>515</v>
      </c>
      <c r="N16" s="23"/>
      <c r="O16" s="23"/>
      <c r="P16" s="23"/>
      <c r="Q16" s="24"/>
      <c r="S16" s="25">
        <f t="shared" si="8"/>
        <v>525</v>
      </c>
      <c r="T16" s="25">
        <f t="shared" si="5"/>
        <v>735</v>
      </c>
      <c r="U16" s="25">
        <f t="shared" si="6"/>
        <v>515</v>
      </c>
      <c r="V16" s="25">
        <f t="shared" si="7"/>
        <v>0</v>
      </c>
      <c r="W16" s="25">
        <f t="shared" si="7"/>
        <v>0</v>
      </c>
      <c r="X16" s="25">
        <f t="shared" si="7"/>
        <v>0</v>
      </c>
      <c r="Y16" s="25">
        <f t="shared" si="7"/>
        <v>0</v>
      </c>
      <c r="AA16" s="12">
        <f>IF('Men''s Epée'!$S$3=TRUE,I16,0)</f>
        <v>525</v>
      </c>
      <c r="AB16" s="12">
        <f>IF('Men''s Epée'!$T$3=TRUE,K16,0)</f>
        <v>735</v>
      </c>
      <c r="AC16" s="12">
        <f>IF('Men''s Epée'!$U$3=TRUE,M16,0)</f>
        <v>515</v>
      </c>
      <c r="AD16" s="26">
        <f t="shared" si="9"/>
        <v>0</v>
      </c>
      <c r="AE16" s="26">
        <f t="shared" si="9"/>
        <v>0</v>
      </c>
      <c r="AF16" s="26">
        <f t="shared" si="9"/>
        <v>0</v>
      </c>
      <c r="AG16" s="26">
        <f t="shared" si="9"/>
        <v>0</v>
      </c>
      <c r="AH16" s="12">
        <f t="shared" si="10"/>
        <v>1260</v>
      </c>
    </row>
    <row r="17" spans="1:34" ht="13.5">
      <c r="A17" s="16" t="str">
        <f t="shared" si="0"/>
        <v>14</v>
      </c>
      <c r="B17" s="16">
        <f t="shared" si="1"/>
      </c>
      <c r="C17" s="17" t="s">
        <v>161</v>
      </c>
      <c r="D17" s="18">
        <v>1973</v>
      </c>
      <c r="E17" s="19">
        <f>ROUND(F17+IF('Men''s Epée'!$A$3=1,G17,0)+LARGE($S17:$Y17,1)+LARGE($S17:$Y17,2),0)</f>
        <v>1110</v>
      </c>
      <c r="F17" s="20"/>
      <c r="G17" s="21"/>
      <c r="H17" s="21">
        <v>18</v>
      </c>
      <c r="I17" s="22">
        <f t="shared" si="2"/>
        <v>410</v>
      </c>
      <c r="J17" s="21">
        <v>20</v>
      </c>
      <c r="K17" s="22">
        <f t="shared" si="3"/>
        <v>400</v>
      </c>
      <c r="L17" s="21">
        <v>5</v>
      </c>
      <c r="M17" s="22">
        <f t="shared" si="4"/>
        <v>700</v>
      </c>
      <c r="N17" s="23"/>
      <c r="O17" s="23"/>
      <c r="P17" s="23"/>
      <c r="Q17" s="24"/>
      <c r="S17" s="25">
        <f t="shared" si="8"/>
        <v>410</v>
      </c>
      <c r="T17" s="25">
        <f t="shared" si="5"/>
        <v>400</v>
      </c>
      <c r="U17" s="25">
        <f t="shared" si="6"/>
        <v>700</v>
      </c>
      <c r="V17" s="25">
        <f t="shared" si="7"/>
        <v>0</v>
      </c>
      <c r="W17" s="25">
        <f t="shared" si="7"/>
        <v>0</v>
      </c>
      <c r="X17" s="25">
        <f t="shared" si="7"/>
        <v>0</v>
      </c>
      <c r="Y17" s="25">
        <f t="shared" si="7"/>
        <v>0</v>
      </c>
      <c r="AA17" s="12">
        <f>IF('Men''s Epée'!$S$3=TRUE,I17,0)</f>
        <v>410</v>
      </c>
      <c r="AB17" s="12">
        <f>IF('Men''s Epée'!$T$3=TRUE,K17,0)</f>
        <v>400</v>
      </c>
      <c r="AC17" s="12">
        <f>IF('Men''s Epée'!$U$3=TRUE,M17,0)</f>
        <v>700</v>
      </c>
      <c r="AD17" s="26">
        <f t="shared" si="9"/>
        <v>0</v>
      </c>
      <c r="AE17" s="26">
        <f t="shared" si="9"/>
        <v>0</v>
      </c>
      <c r="AF17" s="26">
        <f t="shared" si="9"/>
        <v>0</v>
      </c>
      <c r="AG17" s="26">
        <f t="shared" si="9"/>
        <v>0</v>
      </c>
      <c r="AH17" s="12">
        <f t="shared" si="10"/>
        <v>1110</v>
      </c>
    </row>
    <row r="18" spans="1:34" ht="13.5">
      <c r="A18" s="16" t="str">
        <f t="shared" si="0"/>
        <v>15</v>
      </c>
      <c r="B18" s="16">
        <f t="shared" si="1"/>
      </c>
      <c r="C18" s="17" t="s">
        <v>96</v>
      </c>
      <c r="D18" s="18">
        <v>1973</v>
      </c>
      <c r="E18" s="19">
        <f>ROUND(F18+IF('Men''s Epée'!$A$3=1,G18,0)+LARGE($S18:$Y18,1)+LARGE($S18:$Y18,2),0)</f>
        <v>1000</v>
      </c>
      <c r="F18" s="20"/>
      <c r="G18" s="21"/>
      <c r="H18" s="21">
        <v>23</v>
      </c>
      <c r="I18" s="22">
        <f t="shared" si="2"/>
        <v>385</v>
      </c>
      <c r="J18" s="21">
        <v>15</v>
      </c>
      <c r="K18" s="22">
        <f t="shared" si="3"/>
        <v>495</v>
      </c>
      <c r="L18" s="21">
        <v>15</v>
      </c>
      <c r="M18" s="22">
        <f t="shared" si="4"/>
        <v>505</v>
      </c>
      <c r="N18" s="23"/>
      <c r="O18" s="23"/>
      <c r="P18" s="23"/>
      <c r="Q18" s="24"/>
      <c r="S18" s="25">
        <f t="shared" si="8"/>
        <v>385</v>
      </c>
      <c r="T18" s="25">
        <f t="shared" si="5"/>
        <v>495</v>
      </c>
      <c r="U18" s="25">
        <f t="shared" si="6"/>
        <v>505</v>
      </c>
      <c r="V18" s="25">
        <f t="shared" si="7"/>
        <v>0</v>
      </c>
      <c r="W18" s="25">
        <f t="shared" si="7"/>
        <v>0</v>
      </c>
      <c r="X18" s="25">
        <f t="shared" si="7"/>
        <v>0</v>
      </c>
      <c r="Y18" s="25">
        <f t="shared" si="7"/>
        <v>0</v>
      </c>
      <c r="AA18" s="12">
        <f>IF('Men''s Epée'!$S$3=TRUE,I18,0)</f>
        <v>385</v>
      </c>
      <c r="AB18" s="12">
        <f>IF('Men''s Epée'!$T$3=TRUE,K18,0)</f>
        <v>495</v>
      </c>
      <c r="AC18" s="12">
        <f>IF('Men''s Epée'!$U$3=TRUE,M18,0)</f>
        <v>505</v>
      </c>
      <c r="AD18" s="26">
        <f t="shared" si="9"/>
        <v>0</v>
      </c>
      <c r="AE18" s="26">
        <f t="shared" si="9"/>
        <v>0</v>
      </c>
      <c r="AF18" s="26">
        <f t="shared" si="9"/>
        <v>0</v>
      </c>
      <c r="AG18" s="26">
        <f t="shared" si="9"/>
        <v>0</v>
      </c>
      <c r="AH18" s="12">
        <f t="shared" si="10"/>
        <v>1000</v>
      </c>
    </row>
    <row r="19" spans="1:34" ht="13.5">
      <c r="A19" s="16" t="str">
        <f t="shared" si="0"/>
        <v>16</v>
      </c>
      <c r="B19" s="16">
        <f t="shared" si="1"/>
      </c>
      <c r="C19" s="17" t="s">
        <v>12</v>
      </c>
      <c r="D19" s="18">
        <v>1980</v>
      </c>
      <c r="E19" s="19">
        <f>ROUND(F19+IF('Men''s Epée'!$A$3=1,G19,0)+LARGE($S19:$Y19,1)+LARGE($S19:$Y19,2),0)</f>
        <v>968</v>
      </c>
      <c r="F19" s="20"/>
      <c r="G19" s="21"/>
      <c r="H19" s="21" t="s">
        <v>5</v>
      </c>
      <c r="I19" s="22">
        <f t="shared" si="2"/>
        <v>0</v>
      </c>
      <c r="J19" s="21">
        <v>17</v>
      </c>
      <c r="K19" s="22">
        <f t="shared" si="3"/>
        <v>415</v>
      </c>
      <c r="L19" s="21" t="s">
        <v>5</v>
      </c>
      <c r="M19" s="22">
        <f t="shared" si="4"/>
        <v>0</v>
      </c>
      <c r="N19" s="23">
        <v>-552.6</v>
      </c>
      <c r="O19" s="23"/>
      <c r="P19" s="23"/>
      <c r="Q19" s="24"/>
      <c r="S19" s="25">
        <f t="shared" si="8"/>
        <v>0</v>
      </c>
      <c r="T19" s="25">
        <f t="shared" si="5"/>
        <v>415</v>
      </c>
      <c r="U19" s="25">
        <f t="shared" si="6"/>
        <v>0</v>
      </c>
      <c r="V19" s="25">
        <f t="shared" si="7"/>
        <v>552.6</v>
      </c>
      <c r="W19" s="25">
        <f t="shared" si="7"/>
        <v>0</v>
      </c>
      <c r="X19" s="25">
        <f t="shared" si="7"/>
        <v>0</v>
      </c>
      <c r="Y19" s="25">
        <f t="shared" si="7"/>
        <v>0</v>
      </c>
      <c r="AA19" s="12">
        <f>IF('Men''s Epée'!$S$3=TRUE,I19,0)</f>
        <v>0</v>
      </c>
      <c r="AB19" s="12">
        <f>IF('Men''s Epée'!$T$3=TRUE,K19,0)</f>
        <v>415</v>
      </c>
      <c r="AC19" s="12">
        <f>IF('Men''s Epée'!$U$3=TRUE,M19,0)</f>
        <v>0</v>
      </c>
      <c r="AD19" s="26">
        <f t="shared" si="9"/>
        <v>0</v>
      </c>
      <c r="AE19" s="26">
        <f t="shared" si="9"/>
        <v>0</v>
      </c>
      <c r="AF19" s="26">
        <f t="shared" si="9"/>
        <v>0</v>
      </c>
      <c r="AG19" s="26">
        <f t="shared" si="9"/>
        <v>0</v>
      </c>
      <c r="AH19" s="12">
        <f t="shared" si="10"/>
        <v>415</v>
      </c>
    </row>
    <row r="20" spans="1:34" ht="13.5">
      <c r="A20" s="16" t="str">
        <f t="shared" si="0"/>
        <v>17</v>
      </c>
      <c r="B20" s="16" t="str">
        <f t="shared" si="1"/>
        <v>#</v>
      </c>
      <c r="C20" s="17" t="s">
        <v>229</v>
      </c>
      <c r="D20" s="18">
        <v>1985</v>
      </c>
      <c r="E20" s="19">
        <f>ROUND(F20+IF('Men''s Epée'!$A$3=1,G20,0)+LARGE($S20:$Y20,1)+LARGE($S20:$Y20,2),0)</f>
        <v>915</v>
      </c>
      <c r="F20" s="20"/>
      <c r="G20" s="21"/>
      <c r="H20" s="21" t="s">
        <v>5</v>
      </c>
      <c r="I20" s="22">
        <f t="shared" si="2"/>
        <v>0</v>
      </c>
      <c r="J20" s="21">
        <v>19</v>
      </c>
      <c r="K20" s="22">
        <f t="shared" si="3"/>
        <v>405</v>
      </c>
      <c r="L20" s="21">
        <v>14</v>
      </c>
      <c r="M20" s="22">
        <f t="shared" si="4"/>
        <v>510</v>
      </c>
      <c r="N20" s="23"/>
      <c r="O20" s="23"/>
      <c r="P20" s="23"/>
      <c r="Q20" s="24"/>
      <c r="S20" s="25">
        <f t="shared" si="8"/>
        <v>0</v>
      </c>
      <c r="T20" s="25">
        <f t="shared" si="5"/>
        <v>405</v>
      </c>
      <c r="U20" s="25">
        <f t="shared" si="6"/>
        <v>510</v>
      </c>
      <c r="V20" s="25">
        <f t="shared" si="7"/>
        <v>0</v>
      </c>
      <c r="W20" s="25">
        <f t="shared" si="7"/>
        <v>0</v>
      </c>
      <c r="X20" s="25">
        <f t="shared" si="7"/>
        <v>0</v>
      </c>
      <c r="Y20" s="25">
        <f t="shared" si="7"/>
        <v>0</v>
      </c>
      <c r="AA20" s="12">
        <f>IF('Men''s Epée'!$S$3=TRUE,I20,0)</f>
        <v>0</v>
      </c>
      <c r="AB20" s="12">
        <f>IF('Men''s Epée'!$T$3=TRUE,K20,0)</f>
        <v>405</v>
      </c>
      <c r="AC20" s="12">
        <f>IF('Men''s Epée'!$U$3=TRUE,M20,0)</f>
        <v>510</v>
      </c>
      <c r="AD20" s="26">
        <f t="shared" si="9"/>
        <v>0</v>
      </c>
      <c r="AE20" s="26">
        <f t="shared" si="9"/>
        <v>0</v>
      </c>
      <c r="AF20" s="26">
        <f t="shared" si="9"/>
        <v>0</v>
      </c>
      <c r="AG20" s="26">
        <f t="shared" si="9"/>
        <v>0</v>
      </c>
      <c r="AH20" s="12">
        <f t="shared" si="10"/>
        <v>915</v>
      </c>
    </row>
    <row r="21" spans="1:34" ht="13.5">
      <c r="A21" s="16" t="str">
        <f t="shared" si="0"/>
        <v>18</v>
      </c>
      <c r="B21" s="16" t="str">
        <f t="shared" si="1"/>
        <v>#</v>
      </c>
      <c r="C21" s="17" t="s">
        <v>169</v>
      </c>
      <c r="D21" s="18">
        <v>1984</v>
      </c>
      <c r="E21" s="19">
        <f>ROUND(F21+IF('Men''s Epée'!$A$3=1,G21,0)+LARGE($S21:$Y21,1)+LARGE($S21:$Y21,2),0)</f>
        <v>850</v>
      </c>
      <c r="F21" s="20"/>
      <c r="G21" s="21"/>
      <c r="H21" s="21" t="s">
        <v>5</v>
      </c>
      <c r="I21" s="22">
        <f t="shared" si="2"/>
        <v>0</v>
      </c>
      <c r="J21" s="21" t="s">
        <v>5</v>
      </c>
      <c r="K21" s="22">
        <f t="shared" si="3"/>
        <v>0</v>
      </c>
      <c r="L21" s="21">
        <v>3</v>
      </c>
      <c r="M21" s="22">
        <f t="shared" si="4"/>
        <v>850</v>
      </c>
      <c r="N21" s="23"/>
      <c r="O21" s="23"/>
      <c r="P21" s="23"/>
      <c r="Q21" s="24"/>
      <c r="S21" s="25">
        <f t="shared" si="8"/>
        <v>0</v>
      </c>
      <c r="T21" s="25">
        <f t="shared" si="5"/>
        <v>0</v>
      </c>
      <c r="U21" s="25">
        <f t="shared" si="6"/>
        <v>850</v>
      </c>
      <c r="V21" s="25">
        <f t="shared" si="7"/>
        <v>0</v>
      </c>
      <c r="W21" s="25">
        <f t="shared" si="7"/>
        <v>0</v>
      </c>
      <c r="X21" s="25">
        <f t="shared" si="7"/>
        <v>0</v>
      </c>
      <c r="Y21" s="25">
        <f t="shared" si="7"/>
        <v>0</v>
      </c>
      <c r="AA21" s="12">
        <f>IF('Men''s Epée'!$S$3=TRUE,I21,0)</f>
        <v>0</v>
      </c>
      <c r="AB21" s="12">
        <f>IF('Men''s Epée'!$T$3=TRUE,K21,0)</f>
        <v>0</v>
      </c>
      <c r="AC21" s="12">
        <f>IF('Men''s Epée'!$U$3=TRUE,M21,0)</f>
        <v>850</v>
      </c>
      <c r="AD21" s="26">
        <f t="shared" si="9"/>
        <v>0</v>
      </c>
      <c r="AE21" s="26">
        <f t="shared" si="9"/>
        <v>0</v>
      </c>
      <c r="AF21" s="26">
        <f t="shared" si="9"/>
        <v>0</v>
      </c>
      <c r="AG21" s="26">
        <f t="shared" si="9"/>
        <v>0</v>
      </c>
      <c r="AH21" s="12">
        <f t="shared" si="10"/>
        <v>850</v>
      </c>
    </row>
    <row r="22" spans="1:34" ht="13.5">
      <c r="A22" s="16" t="str">
        <f t="shared" si="0"/>
        <v>19</v>
      </c>
      <c r="B22" s="16">
        <f t="shared" si="1"/>
      </c>
      <c r="C22" s="17" t="s">
        <v>251</v>
      </c>
      <c r="D22" s="18">
        <v>1977</v>
      </c>
      <c r="E22" s="19">
        <f>ROUND(F22+IF('Men''s Epée'!$A$3=1,G22,0)+LARGE($S22:$Y22,1)+LARGE($S22:$Y22,2),0)</f>
        <v>795</v>
      </c>
      <c r="F22" s="20"/>
      <c r="G22" s="21"/>
      <c r="H22" s="21">
        <v>37</v>
      </c>
      <c r="I22" s="22">
        <f t="shared" si="2"/>
        <v>255</v>
      </c>
      <c r="J22" s="21">
        <v>33</v>
      </c>
      <c r="K22" s="22">
        <f t="shared" si="3"/>
        <v>275</v>
      </c>
      <c r="L22" s="21">
        <v>12</v>
      </c>
      <c r="M22" s="22">
        <f t="shared" si="4"/>
        <v>520</v>
      </c>
      <c r="N22" s="23"/>
      <c r="O22" s="23"/>
      <c r="P22" s="23"/>
      <c r="Q22" s="24"/>
      <c r="S22" s="25">
        <f t="shared" si="8"/>
        <v>255</v>
      </c>
      <c r="T22" s="25">
        <f t="shared" si="5"/>
        <v>275</v>
      </c>
      <c r="U22" s="25">
        <f t="shared" si="6"/>
        <v>520</v>
      </c>
      <c r="V22" s="25">
        <f t="shared" si="7"/>
        <v>0</v>
      </c>
      <c r="W22" s="25">
        <f t="shared" si="7"/>
        <v>0</v>
      </c>
      <c r="X22" s="25">
        <f t="shared" si="7"/>
        <v>0</v>
      </c>
      <c r="Y22" s="25">
        <f t="shared" si="7"/>
        <v>0</v>
      </c>
      <c r="AA22" s="12">
        <f>IF('Men''s Epée'!$S$3=TRUE,I22,0)</f>
        <v>255</v>
      </c>
      <c r="AB22" s="12">
        <f>IF('Men''s Epée'!$T$3=TRUE,K22,0)</f>
        <v>275</v>
      </c>
      <c r="AC22" s="12">
        <f>IF('Men''s Epée'!$U$3=TRUE,M22,0)</f>
        <v>520</v>
      </c>
      <c r="AD22" s="26">
        <f t="shared" si="9"/>
        <v>0</v>
      </c>
      <c r="AE22" s="26">
        <f t="shared" si="9"/>
        <v>0</v>
      </c>
      <c r="AF22" s="26">
        <f t="shared" si="9"/>
        <v>0</v>
      </c>
      <c r="AG22" s="26">
        <f t="shared" si="9"/>
        <v>0</v>
      </c>
      <c r="AH22" s="12">
        <f t="shared" si="10"/>
        <v>795</v>
      </c>
    </row>
    <row r="23" spans="1:38" ht="13.5">
      <c r="A23" s="16" t="str">
        <f t="shared" si="0"/>
        <v>20</v>
      </c>
      <c r="B23" s="16">
        <f t="shared" si="1"/>
      </c>
      <c r="C23" s="17" t="s">
        <v>165</v>
      </c>
      <c r="D23" s="18">
        <v>1951</v>
      </c>
      <c r="E23" s="19">
        <f>ROUND(F23+IF('Men''s Epée'!$A$3=1,G23,0)+LARGE($S23:$Y23,1)+LARGE($S23:$Y23,2),0)</f>
        <v>750</v>
      </c>
      <c r="F23" s="20"/>
      <c r="G23" s="21"/>
      <c r="H23" s="21">
        <v>15</v>
      </c>
      <c r="I23" s="22">
        <f t="shared" si="2"/>
        <v>495</v>
      </c>
      <c r="J23" s="21">
        <v>37</v>
      </c>
      <c r="K23" s="22">
        <f t="shared" si="3"/>
        <v>255</v>
      </c>
      <c r="L23" s="21" t="s">
        <v>5</v>
      </c>
      <c r="M23" s="22">
        <f t="shared" si="4"/>
        <v>0</v>
      </c>
      <c r="N23" s="23"/>
      <c r="O23" s="23"/>
      <c r="P23" s="23"/>
      <c r="Q23" s="24"/>
      <c r="S23" s="25">
        <f t="shared" si="8"/>
        <v>495</v>
      </c>
      <c r="T23" s="25">
        <f t="shared" si="5"/>
        <v>255</v>
      </c>
      <c r="U23" s="25">
        <f t="shared" si="6"/>
        <v>0</v>
      </c>
      <c r="V23" s="25">
        <f t="shared" si="7"/>
        <v>0</v>
      </c>
      <c r="W23" s="25">
        <f t="shared" si="7"/>
        <v>0</v>
      </c>
      <c r="X23" s="25">
        <f t="shared" si="7"/>
        <v>0</v>
      </c>
      <c r="Y23" s="25">
        <f t="shared" si="7"/>
        <v>0</v>
      </c>
      <c r="AA23" s="12">
        <f>IF('Men''s Epée'!$S$3=TRUE,I23,0)</f>
        <v>495</v>
      </c>
      <c r="AB23" s="12">
        <f>IF('Men''s Epée'!$T$3=TRUE,K23,0)</f>
        <v>255</v>
      </c>
      <c r="AC23" s="12">
        <f>IF('Men''s Epée'!$U$3=TRUE,M23,0)</f>
        <v>0</v>
      </c>
      <c r="AD23" s="26">
        <f t="shared" si="9"/>
        <v>0</v>
      </c>
      <c r="AE23" s="26">
        <f t="shared" si="9"/>
        <v>0</v>
      </c>
      <c r="AF23" s="26">
        <f t="shared" si="9"/>
        <v>0</v>
      </c>
      <c r="AG23" s="26">
        <f t="shared" si="9"/>
        <v>0</v>
      </c>
      <c r="AH23" s="12">
        <f t="shared" si="10"/>
        <v>750</v>
      </c>
      <c r="AI23" s="41"/>
      <c r="AJ23" s="41"/>
      <c r="AK23" s="41"/>
      <c r="AL23" s="41"/>
    </row>
    <row r="24" spans="1:34" ht="13.5">
      <c r="A24" s="16" t="str">
        <f t="shared" si="0"/>
        <v>21</v>
      </c>
      <c r="B24" s="16" t="str">
        <f t="shared" si="1"/>
        <v>#</v>
      </c>
      <c r="C24" s="17" t="s">
        <v>167</v>
      </c>
      <c r="D24" s="18">
        <v>1983</v>
      </c>
      <c r="E24" s="19">
        <f>ROUND(F24+IF('Men''s Epée'!$A$3=1,G24,0)+LARGE($S24:$Y24,1)+LARGE($S24:$Y24,2),0)</f>
        <v>720</v>
      </c>
      <c r="F24" s="20"/>
      <c r="G24" s="21"/>
      <c r="H24" s="21">
        <v>46</v>
      </c>
      <c r="I24" s="22">
        <f t="shared" si="2"/>
        <v>210</v>
      </c>
      <c r="J24" s="21">
        <v>14</v>
      </c>
      <c r="K24" s="22">
        <f t="shared" si="3"/>
        <v>510</v>
      </c>
      <c r="L24" s="21" t="s">
        <v>5</v>
      </c>
      <c r="M24" s="22">
        <f t="shared" si="4"/>
        <v>0</v>
      </c>
      <c r="N24" s="23"/>
      <c r="O24" s="23"/>
      <c r="P24" s="23"/>
      <c r="Q24" s="24"/>
      <c r="S24" s="25">
        <f t="shared" si="8"/>
        <v>210</v>
      </c>
      <c r="T24" s="25">
        <f t="shared" si="5"/>
        <v>510</v>
      </c>
      <c r="U24" s="25">
        <f t="shared" si="6"/>
        <v>0</v>
      </c>
      <c r="V24" s="25">
        <f t="shared" si="7"/>
        <v>0</v>
      </c>
      <c r="W24" s="25">
        <f t="shared" si="7"/>
        <v>0</v>
      </c>
      <c r="X24" s="25">
        <f t="shared" si="7"/>
        <v>0</v>
      </c>
      <c r="Y24" s="25">
        <f t="shared" si="7"/>
        <v>0</v>
      </c>
      <c r="AA24" s="12">
        <f>IF('Men''s Epée'!$S$3=TRUE,I24,0)</f>
        <v>210</v>
      </c>
      <c r="AB24" s="12">
        <f>IF('Men''s Epée'!$T$3=TRUE,K24,0)</f>
        <v>510</v>
      </c>
      <c r="AC24" s="12">
        <f>IF('Men''s Epée'!$U$3=TRUE,M24,0)</f>
        <v>0</v>
      </c>
      <c r="AD24" s="26">
        <f t="shared" si="9"/>
        <v>0</v>
      </c>
      <c r="AE24" s="26">
        <f t="shared" si="9"/>
        <v>0</v>
      </c>
      <c r="AF24" s="26">
        <f t="shared" si="9"/>
        <v>0</v>
      </c>
      <c r="AG24" s="26">
        <f t="shared" si="9"/>
        <v>0</v>
      </c>
      <c r="AH24" s="12">
        <f t="shared" si="10"/>
        <v>720</v>
      </c>
    </row>
    <row r="25" spans="1:34" ht="13.5">
      <c r="A25" s="16" t="str">
        <f t="shared" si="0"/>
        <v>22</v>
      </c>
      <c r="B25" s="16">
        <f t="shared" si="1"/>
      </c>
      <c r="C25" s="17" t="s">
        <v>247</v>
      </c>
      <c r="D25" s="18">
        <v>1976</v>
      </c>
      <c r="E25" s="19">
        <f>ROUND(F25+IF('Men''s Epée'!$A$3=1,G25,0)+LARGE($S25:$Y25,1)+LARGE($S25:$Y25,2),0)</f>
        <v>715</v>
      </c>
      <c r="F25" s="20"/>
      <c r="G25" s="21"/>
      <c r="H25" s="21">
        <v>24</v>
      </c>
      <c r="I25" s="22">
        <f t="shared" si="2"/>
        <v>380</v>
      </c>
      <c r="J25" s="21" t="s">
        <v>5</v>
      </c>
      <c r="K25" s="22">
        <f t="shared" si="3"/>
        <v>0</v>
      </c>
      <c r="L25" s="21">
        <v>20</v>
      </c>
      <c r="M25" s="22">
        <f t="shared" si="4"/>
        <v>335</v>
      </c>
      <c r="N25" s="23"/>
      <c r="O25" s="23"/>
      <c r="P25" s="23"/>
      <c r="Q25" s="24"/>
      <c r="S25" s="25">
        <f t="shared" si="8"/>
        <v>380</v>
      </c>
      <c r="T25" s="25">
        <f t="shared" si="5"/>
        <v>0</v>
      </c>
      <c r="U25" s="25">
        <f t="shared" si="6"/>
        <v>335</v>
      </c>
      <c r="V25" s="25">
        <f t="shared" si="7"/>
        <v>0</v>
      </c>
      <c r="W25" s="25">
        <f t="shared" si="7"/>
        <v>0</v>
      </c>
      <c r="X25" s="25">
        <f t="shared" si="7"/>
        <v>0</v>
      </c>
      <c r="Y25" s="25">
        <f t="shared" si="7"/>
        <v>0</v>
      </c>
      <c r="AA25" s="12">
        <f>IF('Men''s Epée'!$S$3=TRUE,I25,0)</f>
        <v>380</v>
      </c>
      <c r="AB25" s="12">
        <f>IF('Men''s Epée'!$T$3=TRUE,K25,0)</f>
        <v>0</v>
      </c>
      <c r="AC25" s="12">
        <f>IF('Men''s Epée'!$U$3=TRUE,M25,0)</f>
        <v>335</v>
      </c>
      <c r="AD25" s="26">
        <f t="shared" si="9"/>
        <v>0</v>
      </c>
      <c r="AE25" s="26">
        <f t="shared" si="9"/>
        <v>0</v>
      </c>
      <c r="AF25" s="26">
        <f t="shared" si="9"/>
        <v>0</v>
      </c>
      <c r="AG25" s="26">
        <f t="shared" si="9"/>
        <v>0</v>
      </c>
      <c r="AH25" s="12">
        <f t="shared" si="10"/>
        <v>715</v>
      </c>
    </row>
    <row r="26" spans="1:34" ht="13.5">
      <c r="A26" s="16" t="str">
        <f t="shared" si="0"/>
        <v>23</v>
      </c>
      <c r="B26" s="16">
        <f t="shared" si="1"/>
      </c>
      <c r="C26" s="17" t="s">
        <v>148</v>
      </c>
      <c r="D26" s="18">
        <v>1979</v>
      </c>
      <c r="E26" s="19">
        <f>ROUND(F26+IF('Men''s Epée'!$A$3=1,G26,0)+LARGE($S26:$Y26,1)+LARGE($S26:$Y26,2),0)</f>
        <v>700</v>
      </c>
      <c r="F26" s="20"/>
      <c r="G26" s="21"/>
      <c r="H26" s="21">
        <v>22</v>
      </c>
      <c r="I26" s="22">
        <f t="shared" si="2"/>
        <v>390</v>
      </c>
      <c r="J26" s="21" t="s">
        <v>5</v>
      </c>
      <c r="K26" s="22">
        <f t="shared" si="3"/>
        <v>0</v>
      </c>
      <c r="L26" s="21">
        <v>25</v>
      </c>
      <c r="M26" s="22">
        <f t="shared" si="4"/>
        <v>310</v>
      </c>
      <c r="N26" s="23"/>
      <c r="O26" s="23"/>
      <c r="P26" s="23"/>
      <c r="Q26" s="24"/>
      <c r="S26" s="25">
        <f aca="true" t="shared" si="11" ref="S26:S33">I26</f>
        <v>390</v>
      </c>
      <c r="T26" s="25">
        <f aca="true" t="shared" si="12" ref="T26:T33">K26</f>
        <v>0</v>
      </c>
      <c r="U26" s="25">
        <f aca="true" t="shared" si="13" ref="U26:U33">M26</f>
        <v>310</v>
      </c>
      <c r="V26" s="25">
        <f aca="true" t="shared" si="14" ref="V26:V33">IF(OR($A$3=1,N26&gt;0),ABS(N26),0)</f>
        <v>0</v>
      </c>
      <c r="W26" s="25">
        <f aca="true" t="shared" si="15" ref="W26:W33">IF(OR($A$3=1,O26&gt;0),ABS(O26),0)</f>
        <v>0</v>
      </c>
      <c r="X26" s="25">
        <f aca="true" t="shared" si="16" ref="X26:X33">IF(OR($A$3=1,P26&gt;0),ABS(P26),0)</f>
        <v>0</v>
      </c>
      <c r="Y26" s="25">
        <f aca="true" t="shared" si="17" ref="Y26:Y33">IF(OR($A$3=1,Q26&gt;0),ABS(Q26),0)</f>
        <v>0</v>
      </c>
      <c r="AA26" s="12">
        <f>IF('Men''s Epée'!$S$3=TRUE,I26,0)</f>
        <v>390</v>
      </c>
      <c r="AB26" s="12">
        <f>IF('Men''s Epée'!$T$3=TRUE,K26,0)</f>
        <v>0</v>
      </c>
      <c r="AC26" s="12">
        <f>IF('Men''s Epée'!$U$3=TRUE,M26,0)</f>
        <v>310</v>
      </c>
      <c r="AD26" s="26">
        <f aca="true" t="shared" si="18" ref="AD26:AD33">MAX(N26,0)</f>
        <v>0</v>
      </c>
      <c r="AE26" s="26">
        <f aca="true" t="shared" si="19" ref="AE26:AE33">MAX(O26,0)</f>
        <v>0</v>
      </c>
      <c r="AF26" s="26">
        <f aca="true" t="shared" si="20" ref="AF26:AF33">MAX(P26,0)</f>
        <v>0</v>
      </c>
      <c r="AG26" s="26">
        <f aca="true" t="shared" si="21" ref="AG26:AG33">MAX(Q26,0)</f>
        <v>0</v>
      </c>
      <c r="AH26" s="12">
        <f t="shared" si="10"/>
        <v>700</v>
      </c>
    </row>
    <row r="27" spans="1:34" ht="13.5">
      <c r="A27" s="16" t="str">
        <f t="shared" si="0"/>
        <v>24</v>
      </c>
      <c r="B27" s="16">
        <f t="shared" si="1"/>
      </c>
      <c r="C27" s="17" t="s">
        <v>146</v>
      </c>
      <c r="D27" s="18">
        <v>1964</v>
      </c>
      <c r="E27" s="19">
        <f>ROUND(F27+IF('Men''s Epée'!$A$3=1,G27,0)+LARGE($S27:$Y27,1)+LARGE($S27:$Y27,2),0)</f>
        <v>690</v>
      </c>
      <c r="F27" s="20"/>
      <c r="G27" s="21"/>
      <c r="H27" s="21">
        <v>17</v>
      </c>
      <c r="I27" s="22">
        <f t="shared" si="2"/>
        <v>415</v>
      </c>
      <c r="J27" s="21">
        <v>41</v>
      </c>
      <c r="K27" s="22">
        <f t="shared" si="3"/>
        <v>235</v>
      </c>
      <c r="L27" s="21">
        <v>32</v>
      </c>
      <c r="M27" s="22">
        <f t="shared" si="4"/>
        <v>275</v>
      </c>
      <c r="N27" s="23">
        <v>273.212</v>
      </c>
      <c r="O27" s="23"/>
      <c r="P27" s="23"/>
      <c r="Q27" s="24"/>
      <c r="S27" s="25">
        <f t="shared" si="11"/>
        <v>415</v>
      </c>
      <c r="T27" s="25">
        <f t="shared" si="12"/>
        <v>235</v>
      </c>
      <c r="U27" s="25">
        <f t="shared" si="13"/>
        <v>275</v>
      </c>
      <c r="V27" s="25">
        <f t="shared" si="14"/>
        <v>273.212</v>
      </c>
      <c r="W27" s="25">
        <f t="shared" si="15"/>
        <v>0</v>
      </c>
      <c r="X27" s="25">
        <f t="shared" si="16"/>
        <v>0</v>
      </c>
      <c r="Y27" s="25">
        <f t="shared" si="17"/>
        <v>0</v>
      </c>
      <c r="AA27" s="12">
        <f>IF('Men''s Epée'!$S$3=TRUE,I27,0)</f>
        <v>415</v>
      </c>
      <c r="AB27" s="12">
        <f>IF('Men''s Epée'!$T$3=TRUE,K27,0)</f>
        <v>235</v>
      </c>
      <c r="AC27" s="12">
        <f>IF('Men''s Epée'!$U$3=TRUE,M27,0)</f>
        <v>275</v>
      </c>
      <c r="AD27" s="26">
        <f t="shared" si="18"/>
        <v>273.212</v>
      </c>
      <c r="AE27" s="26">
        <f t="shared" si="19"/>
        <v>0</v>
      </c>
      <c r="AF27" s="26">
        <f t="shared" si="20"/>
        <v>0</v>
      </c>
      <c r="AG27" s="26">
        <f t="shared" si="21"/>
        <v>0</v>
      </c>
      <c r="AH27" s="12">
        <f t="shared" si="10"/>
        <v>690</v>
      </c>
    </row>
    <row r="28" spans="1:34" ht="13.5">
      <c r="A28" s="16" t="str">
        <f t="shared" si="0"/>
        <v>25</v>
      </c>
      <c r="B28" s="16">
        <f t="shared" si="1"/>
      </c>
      <c r="C28" s="38" t="s">
        <v>317</v>
      </c>
      <c r="D28" s="36">
        <v>1961</v>
      </c>
      <c r="E28" s="19">
        <f>ROUND(F28+IF('Men''s Epée'!$A$3=1,G28,0)+LARGE($S28:$Y28,1)+LARGE($S28:$Y28,2),0)</f>
        <v>675</v>
      </c>
      <c r="F28" s="20"/>
      <c r="G28" s="21"/>
      <c r="H28" s="21" t="s">
        <v>5</v>
      </c>
      <c r="I28" s="22">
        <f t="shared" si="2"/>
        <v>0</v>
      </c>
      <c r="J28" s="21">
        <v>23</v>
      </c>
      <c r="K28" s="22">
        <f t="shared" si="3"/>
        <v>385</v>
      </c>
      <c r="L28" s="21">
        <v>29</v>
      </c>
      <c r="M28" s="22">
        <f t="shared" si="4"/>
        <v>290</v>
      </c>
      <c r="N28" s="23"/>
      <c r="O28" s="23"/>
      <c r="P28" s="23"/>
      <c r="Q28" s="24"/>
      <c r="S28" s="25">
        <f t="shared" si="11"/>
        <v>0</v>
      </c>
      <c r="T28" s="25">
        <f t="shared" si="12"/>
        <v>385</v>
      </c>
      <c r="U28" s="25">
        <f t="shared" si="13"/>
        <v>290</v>
      </c>
      <c r="V28" s="25">
        <f t="shared" si="14"/>
        <v>0</v>
      </c>
      <c r="W28" s="25">
        <f t="shared" si="15"/>
        <v>0</v>
      </c>
      <c r="X28" s="25">
        <f t="shared" si="16"/>
        <v>0</v>
      </c>
      <c r="Y28" s="25">
        <f t="shared" si="17"/>
        <v>0</v>
      </c>
      <c r="AA28" s="12">
        <f>IF('Men''s Epée'!$S$3=TRUE,I28,0)</f>
        <v>0</v>
      </c>
      <c r="AB28" s="12">
        <f>IF('Men''s Epée'!$T$3=TRUE,K28,0)</f>
        <v>385</v>
      </c>
      <c r="AC28" s="12">
        <f>IF('Men''s Epée'!$U$3=TRUE,M28,0)</f>
        <v>290</v>
      </c>
      <c r="AD28" s="26">
        <f t="shared" si="18"/>
        <v>0</v>
      </c>
      <c r="AE28" s="26">
        <f t="shared" si="19"/>
        <v>0</v>
      </c>
      <c r="AF28" s="26">
        <f t="shared" si="20"/>
        <v>0</v>
      </c>
      <c r="AG28" s="26">
        <f t="shared" si="21"/>
        <v>0</v>
      </c>
      <c r="AH28" s="12">
        <f t="shared" si="10"/>
        <v>675</v>
      </c>
    </row>
    <row r="29" spans="1:34" ht="13.5">
      <c r="A29" s="16" t="str">
        <f t="shared" si="0"/>
        <v>26</v>
      </c>
      <c r="B29" s="16">
        <f t="shared" si="1"/>
      </c>
      <c r="C29" s="17" t="s">
        <v>95</v>
      </c>
      <c r="D29" s="18">
        <v>1974</v>
      </c>
      <c r="E29" s="19">
        <f>ROUND(F29+IF('Men''s Epée'!$A$3=1,G29,0)+LARGE($S29:$Y29,1)+LARGE($S29:$Y29,2),0)</f>
        <v>613</v>
      </c>
      <c r="F29" s="20"/>
      <c r="G29" s="21"/>
      <c r="H29" s="21">
        <v>32</v>
      </c>
      <c r="I29" s="22">
        <f t="shared" si="2"/>
        <v>280</v>
      </c>
      <c r="J29" s="21">
        <v>29.5</v>
      </c>
      <c r="K29" s="22">
        <f t="shared" si="3"/>
        <v>292.5</v>
      </c>
      <c r="L29" s="21">
        <v>23</v>
      </c>
      <c r="M29" s="22">
        <f t="shared" si="4"/>
        <v>320</v>
      </c>
      <c r="N29" s="23"/>
      <c r="O29" s="23"/>
      <c r="P29" s="23"/>
      <c r="Q29" s="24"/>
      <c r="S29" s="25">
        <f t="shared" si="11"/>
        <v>280</v>
      </c>
      <c r="T29" s="25">
        <f t="shared" si="12"/>
        <v>292.5</v>
      </c>
      <c r="U29" s="25">
        <f t="shared" si="13"/>
        <v>320</v>
      </c>
      <c r="V29" s="25">
        <f t="shared" si="14"/>
        <v>0</v>
      </c>
      <c r="W29" s="25">
        <f t="shared" si="15"/>
        <v>0</v>
      </c>
      <c r="X29" s="25">
        <f t="shared" si="16"/>
        <v>0</v>
      </c>
      <c r="Y29" s="25">
        <f t="shared" si="17"/>
        <v>0</v>
      </c>
      <c r="AA29" s="12">
        <f>IF('Men''s Epée'!$S$3=TRUE,I29,0)</f>
        <v>280</v>
      </c>
      <c r="AB29" s="12">
        <f>IF('Men''s Epée'!$T$3=TRUE,K29,0)</f>
        <v>292.5</v>
      </c>
      <c r="AC29" s="12">
        <f>IF('Men''s Epée'!$U$3=TRUE,M29,0)</f>
        <v>320</v>
      </c>
      <c r="AD29" s="26">
        <f t="shared" si="18"/>
        <v>0</v>
      </c>
      <c r="AE29" s="26">
        <f t="shared" si="19"/>
        <v>0</v>
      </c>
      <c r="AF29" s="26">
        <f t="shared" si="20"/>
        <v>0</v>
      </c>
      <c r="AG29" s="26">
        <f t="shared" si="21"/>
        <v>0</v>
      </c>
      <c r="AH29" s="12">
        <f t="shared" si="10"/>
        <v>613</v>
      </c>
    </row>
    <row r="30" spans="1:34" ht="13.5">
      <c r="A30" s="16" t="str">
        <f t="shared" si="0"/>
        <v>27</v>
      </c>
      <c r="B30" s="16">
        <f t="shared" si="1"/>
      </c>
      <c r="C30" s="17" t="s">
        <v>16</v>
      </c>
      <c r="D30" s="18">
        <v>1964</v>
      </c>
      <c r="E30" s="19">
        <f>ROUND(F30+IF('Men''s Epée'!$A$3=1,G30,0)+LARGE($S30:$Y30,1)+LARGE($S30:$Y30,2),0)</f>
        <v>604</v>
      </c>
      <c r="F30" s="20"/>
      <c r="G30" s="21"/>
      <c r="H30" s="21" t="s">
        <v>5</v>
      </c>
      <c r="I30" s="22">
        <f t="shared" si="2"/>
        <v>0</v>
      </c>
      <c r="J30" s="21">
        <v>47.5</v>
      </c>
      <c r="K30" s="22">
        <f t="shared" si="3"/>
        <v>202.5</v>
      </c>
      <c r="L30" s="21">
        <v>30</v>
      </c>
      <c r="M30" s="22">
        <f t="shared" si="4"/>
        <v>285</v>
      </c>
      <c r="N30" s="23">
        <v>-318.666</v>
      </c>
      <c r="O30" s="23"/>
      <c r="P30" s="23"/>
      <c r="Q30" s="24"/>
      <c r="S30" s="25">
        <f t="shared" si="11"/>
        <v>0</v>
      </c>
      <c r="T30" s="25">
        <f t="shared" si="12"/>
        <v>202.5</v>
      </c>
      <c r="U30" s="25">
        <f t="shared" si="13"/>
        <v>285</v>
      </c>
      <c r="V30" s="25">
        <f t="shared" si="14"/>
        <v>318.666</v>
      </c>
      <c r="W30" s="25">
        <f t="shared" si="15"/>
        <v>0</v>
      </c>
      <c r="X30" s="25">
        <f t="shared" si="16"/>
        <v>0</v>
      </c>
      <c r="Y30" s="25">
        <f t="shared" si="17"/>
        <v>0</v>
      </c>
      <c r="AA30" s="12">
        <f>IF('Men''s Epée'!$S$3=TRUE,I30,0)</f>
        <v>0</v>
      </c>
      <c r="AB30" s="12">
        <f>IF('Men''s Epée'!$T$3=TRUE,K30,0)</f>
        <v>202.5</v>
      </c>
      <c r="AC30" s="12">
        <f>IF('Men''s Epée'!$U$3=TRUE,M30,0)</f>
        <v>285</v>
      </c>
      <c r="AD30" s="26">
        <f t="shared" si="18"/>
        <v>0</v>
      </c>
      <c r="AE30" s="26">
        <f t="shared" si="19"/>
        <v>0</v>
      </c>
      <c r="AF30" s="26">
        <f t="shared" si="20"/>
        <v>0</v>
      </c>
      <c r="AG30" s="26">
        <f t="shared" si="21"/>
        <v>0</v>
      </c>
      <c r="AH30" s="12">
        <f t="shared" si="10"/>
        <v>488</v>
      </c>
    </row>
    <row r="31" spans="1:34" ht="13.5">
      <c r="A31" s="16" t="str">
        <f t="shared" si="0"/>
        <v>28</v>
      </c>
      <c r="B31" s="16">
        <f t="shared" si="1"/>
      </c>
      <c r="C31" s="38" t="s">
        <v>204</v>
      </c>
      <c r="D31" s="36">
        <v>1979</v>
      </c>
      <c r="E31" s="19">
        <f>ROUND(F31+IF('Men''s Epée'!$A$3=1,G31,0)+LARGE($S31:$Y31,1)+LARGE($S31:$Y31,2),0)</f>
        <v>590</v>
      </c>
      <c r="F31" s="20"/>
      <c r="G31" s="21"/>
      <c r="H31" s="21">
        <v>35</v>
      </c>
      <c r="I31" s="22">
        <f t="shared" si="2"/>
        <v>265</v>
      </c>
      <c r="J31" s="21" t="s">
        <v>5</v>
      </c>
      <c r="K31" s="22">
        <f t="shared" si="3"/>
        <v>0</v>
      </c>
      <c r="L31" s="21">
        <v>22</v>
      </c>
      <c r="M31" s="22">
        <f t="shared" si="4"/>
        <v>325</v>
      </c>
      <c r="N31" s="23"/>
      <c r="O31" s="23"/>
      <c r="P31" s="23"/>
      <c r="Q31" s="24"/>
      <c r="S31" s="25">
        <f t="shared" si="11"/>
        <v>265</v>
      </c>
      <c r="T31" s="25">
        <f t="shared" si="12"/>
        <v>0</v>
      </c>
      <c r="U31" s="25">
        <f t="shared" si="13"/>
        <v>325</v>
      </c>
      <c r="V31" s="25">
        <f t="shared" si="14"/>
        <v>0</v>
      </c>
      <c r="W31" s="25">
        <f t="shared" si="15"/>
        <v>0</v>
      </c>
      <c r="X31" s="25">
        <f t="shared" si="16"/>
        <v>0</v>
      </c>
      <c r="Y31" s="25">
        <f t="shared" si="17"/>
        <v>0</v>
      </c>
      <c r="AA31" s="12">
        <f>IF('Men''s Epée'!$S$3=TRUE,I31,0)</f>
        <v>265</v>
      </c>
      <c r="AB31" s="12">
        <f>IF('Men''s Epée'!$T$3=TRUE,K31,0)</f>
        <v>0</v>
      </c>
      <c r="AC31" s="12">
        <f>IF('Men''s Epée'!$U$3=TRUE,M31,0)</f>
        <v>325</v>
      </c>
      <c r="AD31" s="26">
        <f t="shared" si="18"/>
        <v>0</v>
      </c>
      <c r="AE31" s="26">
        <f t="shared" si="19"/>
        <v>0</v>
      </c>
      <c r="AF31" s="26">
        <f t="shared" si="20"/>
        <v>0</v>
      </c>
      <c r="AG31" s="26">
        <f t="shared" si="21"/>
        <v>0</v>
      </c>
      <c r="AH31" s="12">
        <f t="shared" si="10"/>
        <v>590</v>
      </c>
    </row>
    <row r="32" spans="1:34" ht="13.5">
      <c r="A32" s="16" t="str">
        <f t="shared" si="0"/>
        <v>29</v>
      </c>
      <c r="B32" s="16">
        <f t="shared" si="1"/>
      </c>
      <c r="C32" s="38" t="s">
        <v>321</v>
      </c>
      <c r="D32" s="36">
        <v>1982</v>
      </c>
      <c r="E32" s="19">
        <f>ROUND(F32+IF('Men''s Epée'!$A$3=1,G32,0)+LARGE($S32:$Y32,1)+LARGE($S32:$Y32,2),0)</f>
        <v>503</v>
      </c>
      <c r="F32" s="20"/>
      <c r="G32" s="21"/>
      <c r="H32" s="21" t="s">
        <v>5</v>
      </c>
      <c r="I32" s="22">
        <f t="shared" si="2"/>
        <v>0</v>
      </c>
      <c r="J32" s="21">
        <v>47.5</v>
      </c>
      <c r="K32" s="22">
        <f t="shared" si="3"/>
        <v>202.5</v>
      </c>
      <c r="L32" s="21">
        <v>27</v>
      </c>
      <c r="M32" s="22">
        <f t="shared" si="4"/>
        <v>300</v>
      </c>
      <c r="N32" s="23"/>
      <c r="O32" s="23"/>
      <c r="P32" s="23"/>
      <c r="Q32" s="24"/>
      <c r="S32" s="25">
        <f t="shared" si="11"/>
        <v>0</v>
      </c>
      <c r="T32" s="25">
        <f t="shared" si="12"/>
        <v>202.5</v>
      </c>
      <c r="U32" s="25">
        <f t="shared" si="13"/>
        <v>300</v>
      </c>
      <c r="V32" s="25">
        <f t="shared" si="14"/>
        <v>0</v>
      </c>
      <c r="W32" s="25">
        <f t="shared" si="15"/>
        <v>0</v>
      </c>
      <c r="X32" s="25">
        <f t="shared" si="16"/>
        <v>0</v>
      </c>
      <c r="Y32" s="25">
        <f t="shared" si="17"/>
        <v>0</v>
      </c>
      <c r="AA32" s="12">
        <f>IF('Men''s Epée'!$S$3=TRUE,I32,0)</f>
        <v>0</v>
      </c>
      <c r="AB32" s="12">
        <f>IF('Men''s Epée'!$T$3=TRUE,K32,0)</f>
        <v>202.5</v>
      </c>
      <c r="AC32" s="12">
        <f>IF('Men''s Epée'!$U$3=TRUE,M32,0)</f>
        <v>300</v>
      </c>
      <c r="AD32" s="26">
        <f t="shared" si="18"/>
        <v>0</v>
      </c>
      <c r="AE32" s="26">
        <f t="shared" si="19"/>
        <v>0</v>
      </c>
      <c r="AF32" s="26">
        <f t="shared" si="20"/>
        <v>0</v>
      </c>
      <c r="AG32" s="26">
        <f t="shared" si="21"/>
        <v>0</v>
      </c>
      <c r="AH32" s="12">
        <f t="shared" si="10"/>
        <v>503</v>
      </c>
    </row>
    <row r="33" spans="1:34" ht="13.5">
      <c r="A33" s="16" t="str">
        <f t="shared" si="0"/>
        <v>30</v>
      </c>
      <c r="B33" s="16" t="str">
        <f t="shared" si="1"/>
        <v>#</v>
      </c>
      <c r="C33" s="17" t="s">
        <v>189</v>
      </c>
      <c r="D33" s="18">
        <v>1983</v>
      </c>
      <c r="E33" s="19">
        <f>ROUND(F33+IF('Men''s Epée'!$A$3=1,G33,0)+LARGE($S33:$Y33,1)+LARGE($S33:$Y33,2),0)</f>
        <v>500</v>
      </c>
      <c r="F33" s="20"/>
      <c r="G33" s="21"/>
      <c r="H33" s="21" t="s">
        <v>5</v>
      </c>
      <c r="I33" s="22">
        <f t="shared" si="2"/>
        <v>0</v>
      </c>
      <c r="J33" s="21" t="s">
        <v>5</v>
      </c>
      <c r="K33" s="22">
        <f t="shared" si="3"/>
        <v>0</v>
      </c>
      <c r="L33" s="21">
        <v>16</v>
      </c>
      <c r="M33" s="22">
        <f t="shared" si="4"/>
        <v>500</v>
      </c>
      <c r="N33" s="23"/>
      <c r="O33" s="23"/>
      <c r="P33" s="23"/>
      <c r="Q33" s="24"/>
      <c r="S33" s="25">
        <f t="shared" si="11"/>
        <v>0</v>
      </c>
      <c r="T33" s="25">
        <f t="shared" si="12"/>
        <v>0</v>
      </c>
      <c r="U33" s="25">
        <f t="shared" si="13"/>
        <v>500</v>
      </c>
      <c r="V33" s="25">
        <f t="shared" si="14"/>
        <v>0</v>
      </c>
      <c r="W33" s="25">
        <f t="shared" si="15"/>
        <v>0</v>
      </c>
      <c r="X33" s="25">
        <f t="shared" si="16"/>
        <v>0</v>
      </c>
      <c r="Y33" s="25">
        <f t="shared" si="17"/>
        <v>0</v>
      </c>
      <c r="AA33" s="12">
        <f>IF('Men''s Epée'!$S$3=TRUE,I33,0)</f>
        <v>0</v>
      </c>
      <c r="AB33" s="12">
        <f>IF('Men''s Epée'!$T$3=TRUE,K33,0)</f>
        <v>0</v>
      </c>
      <c r="AC33" s="12">
        <f>IF('Men''s Epée'!$U$3=TRUE,M33,0)</f>
        <v>500</v>
      </c>
      <c r="AD33" s="26">
        <f t="shared" si="18"/>
        <v>0</v>
      </c>
      <c r="AE33" s="26">
        <f t="shared" si="19"/>
        <v>0</v>
      </c>
      <c r="AF33" s="26">
        <f t="shared" si="20"/>
        <v>0</v>
      </c>
      <c r="AG33" s="26">
        <f t="shared" si="21"/>
        <v>0</v>
      </c>
      <c r="AH33" s="12">
        <f t="shared" si="10"/>
        <v>500</v>
      </c>
    </row>
    <row r="34" spans="1:34" ht="13.5">
      <c r="A34" s="16" t="str">
        <f t="shared" si="0"/>
        <v>31</v>
      </c>
      <c r="B34" s="16" t="str">
        <f t="shared" si="1"/>
        <v>#</v>
      </c>
      <c r="C34" s="17" t="s">
        <v>168</v>
      </c>
      <c r="D34" s="18">
        <v>1984</v>
      </c>
      <c r="E34" s="19">
        <f>ROUND(F34+IF('Men''s Epée'!$A$3=1,G34,0)+LARGE($S34:$Y34,1)+LARGE($S34:$Y34,2),0)</f>
        <v>475</v>
      </c>
      <c r="F34" s="20"/>
      <c r="G34" s="21"/>
      <c r="H34" s="21">
        <v>39</v>
      </c>
      <c r="I34" s="22">
        <f t="shared" si="2"/>
        <v>245</v>
      </c>
      <c r="J34" s="21">
        <v>42</v>
      </c>
      <c r="K34" s="22">
        <f t="shared" si="3"/>
        <v>230</v>
      </c>
      <c r="L34" s="21" t="s">
        <v>5</v>
      </c>
      <c r="M34" s="22">
        <f t="shared" si="4"/>
        <v>0</v>
      </c>
      <c r="N34" s="23"/>
      <c r="O34" s="23"/>
      <c r="P34" s="23"/>
      <c r="Q34" s="24"/>
      <c r="S34" s="25">
        <f>I34</f>
        <v>245</v>
      </c>
      <c r="T34" s="25">
        <f>K34</f>
        <v>230</v>
      </c>
      <c r="U34" s="25">
        <f>M34</f>
        <v>0</v>
      </c>
      <c r="V34" s="25">
        <f aca="true" t="shared" si="22" ref="V34:Y38">IF(OR($A$3=1,N34&gt;0),ABS(N34),0)</f>
        <v>0</v>
      </c>
      <c r="W34" s="25">
        <f t="shared" si="22"/>
        <v>0</v>
      </c>
      <c r="X34" s="25">
        <f t="shared" si="22"/>
        <v>0</v>
      </c>
      <c r="Y34" s="25">
        <f t="shared" si="22"/>
        <v>0</v>
      </c>
      <c r="AA34" s="12">
        <f>IF('Men''s Epée'!$S$3=TRUE,I34,0)</f>
        <v>245</v>
      </c>
      <c r="AB34" s="12">
        <f>IF('Men''s Epée'!$T$3=TRUE,K34,0)</f>
        <v>230</v>
      </c>
      <c r="AC34" s="12">
        <f>IF('Men''s Epée'!$U$3=TRUE,M34,0)</f>
        <v>0</v>
      </c>
      <c r="AD34" s="26">
        <f aca="true" t="shared" si="23" ref="AD34:AG38">MAX(N34,0)</f>
        <v>0</v>
      </c>
      <c r="AE34" s="26">
        <f t="shared" si="23"/>
        <v>0</v>
      </c>
      <c r="AF34" s="26">
        <f t="shared" si="23"/>
        <v>0</v>
      </c>
      <c r="AG34" s="26">
        <f t="shared" si="23"/>
        <v>0</v>
      </c>
      <c r="AH34" s="12">
        <f t="shared" si="10"/>
        <v>475</v>
      </c>
    </row>
    <row r="35" spans="1:34" ht="13.5">
      <c r="A35" s="16" t="str">
        <f t="shared" si="0"/>
        <v>32</v>
      </c>
      <c r="B35" s="16">
        <f>TRIM(IF(D35&gt;=JuniorCutoff,"#",""))</f>
      </c>
      <c r="C35" s="17" t="s">
        <v>13</v>
      </c>
      <c r="D35" s="18">
        <v>1973</v>
      </c>
      <c r="E35" s="19">
        <f>ROUND(F35+IF('Men''s Epée'!$A$3=1,G35,0)+LARGE($S35:$Y35,1)+LARGE($S35:$Y35,2),0)</f>
        <v>400</v>
      </c>
      <c r="F35" s="20"/>
      <c r="G35" s="21"/>
      <c r="H35" s="21">
        <v>20</v>
      </c>
      <c r="I35" s="22">
        <f t="shared" si="2"/>
        <v>400</v>
      </c>
      <c r="J35" s="21" t="s">
        <v>5</v>
      </c>
      <c r="K35" s="22">
        <f t="shared" si="3"/>
        <v>0</v>
      </c>
      <c r="L35" s="21" t="s">
        <v>5</v>
      </c>
      <c r="M35" s="22">
        <f t="shared" si="4"/>
        <v>0</v>
      </c>
      <c r="N35" s="23"/>
      <c r="O35" s="23"/>
      <c r="P35" s="23"/>
      <c r="Q35" s="24"/>
      <c r="S35" s="25">
        <f>I35</f>
        <v>400</v>
      </c>
      <c r="T35" s="25">
        <f>K35</f>
        <v>0</v>
      </c>
      <c r="U35" s="25">
        <f>M35</f>
        <v>0</v>
      </c>
      <c r="V35" s="25">
        <f t="shared" si="22"/>
        <v>0</v>
      </c>
      <c r="W35" s="25">
        <f t="shared" si="22"/>
        <v>0</v>
      </c>
      <c r="X35" s="25">
        <f t="shared" si="22"/>
        <v>0</v>
      </c>
      <c r="Y35" s="25">
        <f t="shared" si="22"/>
        <v>0</v>
      </c>
      <c r="AA35" s="12">
        <f>IF('Men''s Epée'!$S$3=TRUE,I35,0)</f>
        <v>400</v>
      </c>
      <c r="AB35" s="12">
        <f>IF('Men''s Epée'!$T$3=TRUE,K35,0)</f>
        <v>0</v>
      </c>
      <c r="AC35" s="12">
        <f>IF('Men''s Epée'!$U$3=TRUE,M35,0)</f>
        <v>0</v>
      </c>
      <c r="AD35" s="26">
        <f t="shared" si="23"/>
        <v>0</v>
      </c>
      <c r="AE35" s="26">
        <f t="shared" si="23"/>
        <v>0</v>
      </c>
      <c r="AF35" s="26">
        <f t="shared" si="23"/>
        <v>0</v>
      </c>
      <c r="AG35" s="26">
        <f t="shared" si="23"/>
        <v>0</v>
      </c>
      <c r="AH35" s="12">
        <f t="shared" si="10"/>
        <v>400</v>
      </c>
    </row>
    <row r="36" spans="1:34" ht="13.5">
      <c r="A36" s="16" t="str">
        <f t="shared" si="0"/>
        <v>33</v>
      </c>
      <c r="B36" s="16">
        <f>TRIM(IF(D36&gt;=JuniorCutoff,"#",""))</f>
      </c>
      <c r="C36" s="17" t="s">
        <v>8</v>
      </c>
      <c r="D36" s="18">
        <v>1957</v>
      </c>
      <c r="E36" s="19">
        <f>ROUND(F36+IF('Men''s Epée'!$A$3=1,G36,0)+LARGE($S36:$Y36,1)+LARGE($S36:$Y36,2),0)</f>
        <v>380</v>
      </c>
      <c r="F36" s="20"/>
      <c r="G36" s="21"/>
      <c r="H36" s="21" t="s">
        <v>5</v>
      </c>
      <c r="I36" s="22">
        <f aca="true" t="shared" si="24" ref="I36:I60">IF(OR($A$3=1,$S$3=TRUE),IF(OR(H36&gt;=49,ISNUMBER(H36)=FALSE),0,VLOOKUP(H36,PointTable,I$3,TRUE)),0)</f>
        <v>0</v>
      </c>
      <c r="J36" s="21">
        <v>24</v>
      </c>
      <c r="K36" s="22">
        <f aca="true" t="shared" si="25" ref="K36:K60">IF(OR($A$3=1,$T$3=TRUE),IF(OR(J36&gt;=49,ISNUMBER(J36)=FALSE),0,VLOOKUP(J36,PointTable,K$3,TRUE)),0)</f>
        <v>380</v>
      </c>
      <c r="L36" s="21" t="s">
        <v>5</v>
      </c>
      <c r="M36" s="22">
        <f aca="true" t="shared" si="26" ref="M36:M60">IF(OR($A$3=1,$U$3=TRUE),IF(OR(L36&gt;=49,ISNUMBER(L36)=FALSE),0,VLOOKUP(L36,PointTable,M$3,TRUE)),0)</f>
        <v>0</v>
      </c>
      <c r="N36" s="23"/>
      <c r="O36" s="23"/>
      <c r="P36" s="23"/>
      <c r="Q36" s="24"/>
      <c r="S36" s="25">
        <f>I36</f>
        <v>0</v>
      </c>
      <c r="T36" s="25">
        <f>K36</f>
        <v>380</v>
      </c>
      <c r="U36" s="25">
        <f>M36</f>
        <v>0</v>
      </c>
      <c r="V36" s="25">
        <f t="shared" si="22"/>
        <v>0</v>
      </c>
      <c r="W36" s="25">
        <f t="shared" si="22"/>
        <v>0</v>
      </c>
      <c r="X36" s="25">
        <f t="shared" si="22"/>
        <v>0</v>
      </c>
      <c r="Y36" s="25">
        <f t="shared" si="22"/>
        <v>0</v>
      </c>
      <c r="AA36" s="12">
        <f>IF('Men''s Epée'!$S$3=TRUE,I36,0)</f>
        <v>0</v>
      </c>
      <c r="AB36" s="12">
        <f>IF('Men''s Epée'!$T$3=TRUE,K36,0)</f>
        <v>380</v>
      </c>
      <c r="AC36" s="12">
        <f>IF('Men''s Epée'!$U$3=TRUE,M36,0)</f>
        <v>0</v>
      </c>
      <c r="AD36" s="26">
        <f t="shared" si="23"/>
        <v>0</v>
      </c>
      <c r="AE36" s="26">
        <f t="shared" si="23"/>
        <v>0</v>
      </c>
      <c r="AF36" s="26">
        <f t="shared" si="23"/>
        <v>0</v>
      </c>
      <c r="AG36" s="26">
        <f t="shared" si="23"/>
        <v>0</v>
      </c>
      <c r="AH36" s="12">
        <f t="shared" si="10"/>
        <v>380</v>
      </c>
    </row>
    <row r="37" spans="1:34" ht="13.5">
      <c r="A37" s="16" t="str">
        <f t="shared" si="0"/>
        <v>34</v>
      </c>
      <c r="B37" s="16">
        <f aca="true" t="shared" si="27" ref="B37:B60">TRIM(IF(D37&gt;=JuniorCutoff,"#",""))</f>
      </c>
      <c r="C37" s="17" t="s">
        <v>233</v>
      </c>
      <c r="D37" s="18">
        <v>1972</v>
      </c>
      <c r="E37" s="19">
        <f>ROUND(F37+IF('Men''s Epée'!$A$3=1,G37,0)+LARGE($S37:$Y37,1)+LARGE($S37:$Y37,2),0)</f>
        <v>345</v>
      </c>
      <c r="F37" s="20"/>
      <c r="G37" s="21"/>
      <c r="H37" s="21" t="s">
        <v>5</v>
      </c>
      <c r="I37" s="22">
        <f t="shared" si="24"/>
        <v>0</v>
      </c>
      <c r="J37" s="21" t="s">
        <v>5</v>
      </c>
      <c r="K37" s="22">
        <f t="shared" si="25"/>
        <v>0</v>
      </c>
      <c r="L37" s="21">
        <v>18</v>
      </c>
      <c r="M37" s="22">
        <f t="shared" si="26"/>
        <v>345</v>
      </c>
      <c r="N37" s="23"/>
      <c r="O37" s="23"/>
      <c r="P37" s="23"/>
      <c r="Q37" s="24"/>
      <c r="S37" s="25">
        <f>I37</f>
        <v>0</v>
      </c>
      <c r="T37" s="25">
        <f>K37</f>
        <v>0</v>
      </c>
      <c r="U37" s="25">
        <f>M37</f>
        <v>345</v>
      </c>
      <c r="V37" s="25">
        <f t="shared" si="22"/>
        <v>0</v>
      </c>
      <c r="W37" s="25">
        <f t="shared" si="22"/>
        <v>0</v>
      </c>
      <c r="X37" s="25">
        <f t="shared" si="22"/>
        <v>0</v>
      </c>
      <c r="Y37" s="25">
        <f t="shared" si="22"/>
        <v>0</v>
      </c>
      <c r="AA37" s="12">
        <f>IF('Men''s Epée'!$S$3=TRUE,I37,0)</f>
        <v>0</v>
      </c>
      <c r="AB37" s="12">
        <f>IF('Men''s Epée'!$T$3=TRUE,K37,0)</f>
        <v>0</v>
      </c>
      <c r="AC37" s="12">
        <f>IF('Men''s Epée'!$U$3=TRUE,M37,0)</f>
        <v>345</v>
      </c>
      <c r="AD37" s="26">
        <f t="shared" si="23"/>
        <v>0</v>
      </c>
      <c r="AE37" s="26">
        <f t="shared" si="23"/>
        <v>0</v>
      </c>
      <c r="AF37" s="26">
        <f t="shared" si="23"/>
        <v>0</v>
      </c>
      <c r="AG37" s="26">
        <f t="shared" si="23"/>
        <v>0</v>
      </c>
      <c r="AH37" s="12">
        <f t="shared" si="10"/>
        <v>345</v>
      </c>
    </row>
    <row r="38" spans="1:34" ht="13.5">
      <c r="A38" s="16" t="str">
        <f t="shared" si="0"/>
        <v>35</v>
      </c>
      <c r="B38" s="16">
        <f t="shared" si="1"/>
      </c>
      <c r="C38" s="17" t="s">
        <v>17</v>
      </c>
      <c r="D38" s="18">
        <v>1968</v>
      </c>
      <c r="E38" s="19">
        <f>ROUND(F38+IF('Men''s Epée'!$A$3=1,G38,0)+LARGE($S38:$Y38,1)+LARGE($S38:$Y38,2),0)</f>
        <v>340</v>
      </c>
      <c r="F38" s="20"/>
      <c r="G38" s="21"/>
      <c r="H38" s="21" t="s">
        <v>5</v>
      </c>
      <c r="I38" s="22">
        <f t="shared" si="24"/>
        <v>0</v>
      </c>
      <c r="J38" s="21" t="s">
        <v>5</v>
      </c>
      <c r="K38" s="22">
        <f t="shared" si="25"/>
        <v>0</v>
      </c>
      <c r="L38" s="21">
        <v>19</v>
      </c>
      <c r="M38" s="22">
        <f t="shared" si="26"/>
        <v>340</v>
      </c>
      <c r="N38" s="23"/>
      <c r="O38" s="23"/>
      <c r="P38" s="23"/>
      <c r="Q38" s="24"/>
      <c r="S38" s="25">
        <f>I38</f>
        <v>0</v>
      </c>
      <c r="T38" s="25">
        <f>K38</f>
        <v>0</v>
      </c>
      <c r="U38" s="25">
        <f>M38</f>
        <v>340</v>
      </c>
      <c r="V38" s="25">
        <f t="shared" si="22"/>
        <v>0</v>
      </c>
      <c r="W38" s="25">
        <f t="shared" si="22"/>
        <v>0</v>
      </c>
      <c r="X38" s="25">
        <f t="shared" si="22"/>
        <v>0</v>
      </c>
      <c r="Y38" s="25">
        <f t="shared" si="22"/>
        <v>0</v>
      </c>
      <c r="AA38" s="12">
        <f>IF('Men''s Epée'!$S$3=TRUE,I38,0)</f>
        <v>0</v>
      </c>
      <c r="AB38" s="12">
        <f>IF('Men''s Epée'!$T$3=TRUE,K38,0)</f>
        <v>0</v>
      </c>
      <c r="AC38" s="12">
        <f>IF('Men''s Epée'!$U$3=TRUE,M38,0)</f>
        <v>340</v>
      </c>
      <c r="AD38" s="26">
        <f t="shared" si="23"/>
        <v>0</v>
      </c>
      <c r="AE38" s="26">
        <f t="shared" si="23"/>
        <v>0</v>
      </c>
      <c r="AF38" s="26">
        <f t="shared" si="23"/>
        <v>0</v>
      </c>
      <c r="AG38" s="26">
        <f t="shared" si="23"/>
        <v>0</v>
      </c>
      <c r="AH38" s="12">
        <f t="shared" si="10"/>
        <v>340</v>
      </c>
    </row>
    <row r="39" spans="1:34" ht="13.5">
      <c r="A39" s="16" t="str">
        <f t="shared" si="0"/>
        <v>36</v>
      </c>
      <c r="B39" s="16">
        <f t="shared" si="27"/>
      </c>
      <c r="C39" s="17" t="s">
        <v>384</v>
      </c>
      <c r="D39" s="18">
        <v>1971</v>
      </c>
      <c r="E39" s="19">
        <f>ROUND(F39+IF('Men''s Epée'!$A$3=1,G39,0)+LARGE($S39:$Y39,1)+LARGE($S39:$Y39,2),0)</f>
        <v>330</v>
      </c>
      <c r="F39" s="20"/>
      <c r="G39" s="21"/>
      <c r="H39" s="21" t="s">
        <v>5</v>
      </c>
      <c r="I39" s="22">
        <f t="shared" si="24"/>
        <v>0</v>
      </c>
      <c r="J39" s="21" t="s">
        <v>5</v>
      </c>
      <c r="K39" s="22">
        <f t="shared" si="25"/>
        <v>0</v>
      </c>
      <c r="L39" s="21">
        <v>21</v>
      </c>
      <c r="M39" s="22">
        <f t="shared" si="26"/>
        <v>330</v>
      </c>
      <c r="N39" s="23"/>
      <c r="O39" s="23"/>
      <c r="P39" s="23"/>
      <c r="Q39" s="24"/>
      <c r="S39" s="25">
        <f aca="true" t="shared" si="28" ref="S39:S60">I39</f>
        <v>0</v>
      </c>
      <c r="T39" s="25">
        <f aca="true" t="shared" si="29" ref="T39:T60">K39</f>
        <v>0</v>
      </c>
      <c r="U39" s="25">
        <f aca="true" t="shared" si="30" ref="U39:U60">M39</f>
        <v>330</v>
      </c>
      <c r="V39" s="25">
        <f aca="true" t="shared" si="31" ref="V39:V60">IF(OR($A$3=1,N39&gt;0),ABS(N39),0)</f>
        <v>0</v>
      </c>
      <c r="W39" s="25">
        <f aca="true" t="shared" si="32" ref="W39:W60">IF(OR($A$3=1,O39&gt;0),ABS(O39),0)</f>
        <v>0</v>
      </c>
      <c r="X39" s="25">
        <f aca="true" t="shared" si="33" ref="X39:X60">IF(OR($A$3=1,P39&gt;0),ABS(P39),0)</f>
        <v>0</v>
      </c>
      <c r="Y39" s="25">
        <f aca="true" t="shared" si="34" ref="Y39:Y60">IF(OR($A$3=1,Q39&gt;0),ABS(Q39),0)</f>
        <v>0</v>
      </c>
      <c r="AA39" s="12">
        <f>IF('Men''s Epée'!$S$3=TRUE,I39,0)</f>
        <v>0</v>
      </c>
      <c r="AB39" s="12">
        <f>IF('Men''s Epée'!$T$3=TRUE,K39,0)</f>
        <v>0</v>
      </c>
      <c r="AC39" s="12">
        <f>IF('Men''s Epée'!$U$3=TRUE,M39,0)</f>
        <v>330</v>
      </c>
      <c r="AD39" s="26">
        <f aca="true" t="shared" si="35" ref="AD39:AD60">MAX(N39,0)</f>
        <v>0</v>
      </c>
      <c r="AE39" s="26">
        <f aca="true" t="shared" si="36" ref="AE39:AE60">MAX(O39,0)</f>
        <v>0</v>
      </c>
      <c r="AF39" s="26">
        <f aca="true" t="shared" si="37" ref="AF39:AF60">MAX(P39,0)</f>
        <v>0</v>
      </c>
      <c r="AG39" s="26">
        <f aca="true" t="shared" si="38" ref="AG39:AG60">MAX(Q39,0)</f>
        <v>0</v>
      </c>
      <c r="AH39" s="12">
        <f t="shared" si="10"/>
        <v>330</v>
      </c>
    </row>
    <row r="40" spans="1:34" ht="13.5">
      <c r="A40" s="16" t="str">
        <f t="shared" si="0"/>
        <v>37</v>
      </c>
      <c r="B40" s="16">
        <f t="shared" si="27"/>
      </c>
      <c r="C40" s="17" t="s">
        <v>166</v>
      </c>
      <c r="D40" s="18">
        <v>1971</v>
      </c>
      <c r="E40" s="19">
        <f>ROUND(F40+IF('Men''s Epée'!$A$3=1,G40,0)+LARGE($S40:$Y40,1)+LARGE($S40:$Y40,2),0)</f>
        <v>315</v>
      </c>
      <c r="F40" s="20"/>
      <c r="G40" s="21"/>
      <c r="H40" s="21" t="s">
        <v>5</v>
      </c>
      <c r="I40" s="22">
        <f t="shared" si="24"/>
        <v>0</v>
      </c>
      <c r="J40" s="21" t="s">
        <v>5</v>
      </c>
      <c r="K40" s="22">
        <f t="shared" si="25"/>
        <v>0</v>
      </c>
      <c r="L40" s="21">
        <v>24</v>
      </c>
      <c r="M40" s="22">
        <f t="shared" si="26"/>
        <v>315</v>
      </c>
      <c r="N40" s="23"/>
      <c r="O40" s="23"/>
      <c r="P40" s="23"/>
      <c r="Q40" s="24"/>
      <c r="S40" s="25">
        <f t="shared" si="28"/>
        <v>0</v>
      </c>
      <c r="T40" s="25">
        <f t="shared" si="29"/>
        <v>0</v>
      </c>
      <c r="U40" s="25">
        <f t="shared" si="30"/>
        <v>315</v>
      </c>
      <c r="V40" s="25">
        <f t="shared" si="31"/>
        <v>0</v>
      </c>
      <c r="W40" s="25">
        <f t="shared" si="32"/>
        <v>0</v>
      </c>
      <c r="X40" s="25">
        <f t="shared" si="33"/>
        <v>0</v>
      </c>
      <c r="Y40" s="25">
        <f t="shared" si="34"/>
        <v>0</v>
      </c>
      <c r="AA40" s="12">
        <f>IF('Men''s Epée'!$S$3=TRUE,I40,0)</f>
        <v>0</v>
      </c>
      <c r="AB40" s="12">
        <f>IF('Men''s Epée'!$T$3=TRUE,K40,0)</f>
        <v>0</v>
      </c>
      <c r="AC40" s="12">
        <f>IF('Men''s Epée'!$U$3=TRUE,M40,0)</f>
        <v>315</v>
      </c>
      <c r="AD40" s="26">
        <f t="shared" si="35"/>
        <v>0</v>
      </c>
      <c r="AE40" s="26">
        <f t="shared" si="36"/>
        <v>0</v>
      </c>
      <c r="AF40" s="26">
        <f t="shared" si="37"/>
        <v>0</v>
      </c>
      <c r="AG40" s="26">
        <f t="shared" si="38"/>
        <v>0</v>
      </c>
      <c r="AH40" s="12">
        <f t="shared" si="10"/>
        <v>315</v>
      </c>
    </row>
    <row r="41" spans="1:34" ht="13.5">
      <c r="A41" s="16" t="str">
        <f t="shared" si="0"/>
        <v>38</v>
      </c>
      <c r="B41" s="16" t="str">
        <f t="shared" si="27"/>
        <v>#</v>
      </c>
      <c r="C41" s="17" t="s">
        <v>385</v>
      </c>
      <c r="D41" s="18">
        <v>1985</v>
      </c>
      <c r="E41" s="19">
        <f>ROUND(F41+IF('Men''s Epée'!$A$3=1,G41,0)+LARGE($S41:$Y41,1)+LARGE($S41:$Y41,2),0)</f>
        <v>305</v>
      </c>
      <c r="F41" s="20"/>
      <c r="G41" s="21"/>
      <c r="H41" s="21" t="s">
        <v>5</v>
      </c>
      <c r="I41" s="22">
        <f t="shared" si="24"/>
        <v>0</v>
      </c>
      <c r="J41" s="21" t="s">
        <v>5</v>
      </c>
      <c r="K41" s="22">
        <f t="shared" si="25"/>
        <v>0</v>
      </c>
      <c r="L41" s="21">
        <v>26</v>
      </c>
      <c r="M41" s="22">
        <f t="shared" si="26"/>
        <v>305</v>
      </c>
      <c r="N41" s="23"/>
      <c r="O41" s="23"/>
      <c r="P41" s="23"/>
      <c r="Q41" s="24"/>
      <c r="S41" s="25">
        <f t="shared" si="28"/>
        <v>0</v>
      </c>
      <c r="T41" s="25">
        <f t="shared" si="29"/>
        <v>0</v>
      </c>
      <c r="U41" s="25">
        <f t="shared" si="30"/>
        <v>305</v>
      </c>
      <c r="V41" s="25">
        <f t="shared" si="31"/>
        <v>0</v>
      </c>
      <c r="W41" s="25">
        <f t="shared" si="32"/>
        <v>0</v>
      </c>
      <c r="X41" s="25">
        <f t="shared" si="33"/>
        <v>0</v>
      </c>
      <c r="Y41" s="25">
        <f t="shared" si="34"/>
        <v>0</v>
      </c>
      <c r="AA41" s="12">
        <f>IF('Men''s Epée'!$S$3=TRUE,I41,0)</f>
        <v>0</v>
      </c>
      <c r="AB41" s="12">
        <f>IF('Men''s Epée'!$T$3=TRUE,K41,0)</f>
        <v>0</v>
      </c>
      <c r="AC41" s="12">
        <f>IF('Men''s Epée'!$U$3=TRUE,M41,0)</f>
        <v>305</v>
      </c>
      <c r="AD41" s="26">
        <f t="shared" si="35"/>
        <v>0</v>
      </c>
      <c r="AE41" s="26">
        <f t="shared" si="36"/>
        <v>0</v>
      </c>
      <c r="AF41" s="26">
        <f t="shared" si="37"/>
        <v>0</v>
      </c>
      <c r="AG41" s="26">
        <f t="shared" si="38"/>
        <v>0</v>
      </c>
      <c r="AH41" s="12">
        <f t="shared" si="10"/>
        <v>305</v>
      </c>
    </row>
    <row r="42" spans="1:34" ht="13.5">
      <c r="A42" s="16" t="str">
        <f t="shared" si="0"/>
        <v>39</v>
      </c>
      <c r="B42" s="16">
        <f t="shared" si="27"/>
      </c>
      <c r="C42" s="17" t="s">
        <v>429</v>
      </c>
      <c r="D42" s="36">
        <v>1977</v>
      </c>
      <c r="E42" s="19">
        <f>ROUND(F42+IF('Men''s Epée'!$A$3=1,G42,0)+LARGE($S42:$Y42,1)+LARGE($S42:$Y42,2),0)</f>
        <v>304</v>
      </c>
      <c r="F42" s="20"/>
      <c r="G42" s="21"/>
      <c r="H42" s="21" t="s">
        <v>5</v>
      </c>
      <c r="I42" s="22">
        <f t="shared" si="24"/>
        <v>0</v>
      </c>
      <c r="J42" s="21" t="s">
        <v>5</v>
      </c>
      <c r="K42" s="22">
        <f t="shared" si="25"/>
        <v>0</v>
      </c>
      <c r="L42" s="21" t="s">
        <v>5</v>
      </c>
      <c r="M42" s="22">
        <f t="shared" si="26"/>
        <v>0</v>
      </c>
      <c r="N42" s="23">
        <v>-303.93</v>
      </c>
      <c r="O42" s="23"/>
      <c r="P42" s="23"/>
      <c r="Q42" s="24"/>
      <c r="S42" s="25">
        <f t="shared" si="28"/>
        <v>0</v>
      </c>
      <c r="T42" s="25">
        <f t="shared" si="29"/>
        <v>0</v>
      </c>
      <c r="U42" s="25">
        <f t="shared" si="30"/>
        <v>0</v>
      </c>
      <c r="V42" s="25">
        <f t="shared" si="31"/>
        <v>303.93</v>
      </c>
      <c r="W42" s="25">
        <f t="shared" si="32"/>
        <v>0</v>
      </c>
      <c r="X42" s="25">
        <f t="shared" si="33"/>
        <v>0</v>
      </c>
      <c r="Y42" s="25">
        <f t="shared" si="34"/>
        <v>0</v>
      </c>
      <c r="AA42" s="12">
        <f>IF('Men''s Epée'!$S$3=TRUE,I42,0)</f>
        <v>0</v>
      </c>
      <c r="AB42" s="12">
        <f>IF('Men''s Epée'!$T$3=TRUE,K42,0)</f>
        <v>0</v>
      </c>
      <c r="AC42" s="12">
        <f>IF('Men''s Epée'!$U$3=TRUE,M42,0)</f>
        <v>0</v>
      </c>
      <c r="AD42" s="26">
        <f t="shared" si="35"/>
        <v>0</v>
      </c>
      <c r="AE42" s="26">
        <f t="shared" si="36"/>
        <v>0</v>
      </c>
      <c r="AF42" s="26">
        <f t="shared" si="37"/>
        <v>0</v>
      </c>
      <c r="AG42" s="26">
        <f t="shared" si="38"/>
        <v>0</v>
      </c>
      <c r="AH42" s="12">
        <f t="shared" si="10"/>
        <v>0</v>
      </c>
    </row>
    <row r="43" spans="1:34" ht="13.5">
      <c r="A43" s="16" t="str">
        <f t="shared" si="0"/>
        <v>40</v>
      </c>
      <c r="B43" s="16">
        <f t="shared" si="27"/>
      </c>
      <c r="C43" s="17" t="s">
        <v>303</v>
      </c>
      <c r="D43" s="18">
        <v>1964</v>
      </c>
      <c r="E43" s="19">
        <f>ROUND(F43+IF('Men''s Epée'!$A$3=1,G43,0)+LARGE($S43:$Y43,1)+LARGE($S43:$Y43,2),0)</f>
        <v>298</v>
      </c>
      <c r="F43" s="20"/>
      <c r="G43" s="21"/>
      <c r="H43" s="21">
        <v>28.5</v>
      </c>
      <c r="I43" s="22">
        <f t="shared" si="24"/>
        <v>297.5</v>
      </c>
      <c r="J43" s="21" t="s">
        <v>5</v>
      </c>
      <c r="K43" s="22">
        <f t="shared" si="25"/>
        <v>0</v>
      </c>
      <c r="L43" s="21" t="s">
        <v>5</v>
      </c>
      <c r="M43" s="22">
        <f t="shared" si="26"/>
        <v>0</v>
      </c>
      <c r="N43" s="23"/>
      <c r="O43" s="23"/>
      <c r="P43" s="23"/>
      <c r="Q43" s="24"/>
      <c r="S43" s="25">
        <f t="shared" si="28"/>
        <v>297.5</v>
      </c>
      <c r="T43" s="25">
        <f t="shared" si="29"/>
        <v>0</v>
      </c>
      <c r="U43" s="25">
        <f t="shared" si="30"/>
        <v>0</v>
      </c>
      <c r="V43" s="25">
        <f t="shared" si="31"/>
        <v>0</v>
      </c>
      <c r="W43" s="25">
        <f t="shared" si="32"/>
        <v>0</v>
      </c>
      <c r="X43" s="25">
        <f t="shared" si="33"/>
        <v>0</v>
      </c>
      <c r="Y43" s="25">
        <f t="shared" si="34"/>
        <v>0</v>
      </c>
      <c r="AA43" s="12">
        <f>IF('Men''s Epée'!$S$3=TRUE,I43,0)</f>
        <v>297.5</v>
      </c>
      <c r="AB43" s="12">
        <f>IF('Men''s Epée'!$T$3=TRUE,K43,0)</f>
        <v>0</v>
      </c>
      <c r="AC43" s="12">
        <f>IF('Men''s Epée'!$U$3=TRUE,M43,0)</f>
        <v>0</v>
      </c>
      <c r="AD43" s="26">
        <f t="shared" si="35"/>
        <v>0</v>
      </c>
      <c r="AE43" s="26">
        <f t="shared" si="36"/>
        <v>0</v>
      </c>
      <c r="AF43" s="26">
        <f t="shared" si="37"/>
        <v>0</v>
      </c>
      <c r="AG43" s="26">
        <f t="shared" si="38"/>
        <v>0</v>
      </c>
      <c r="AH43" s="12">
        <f t="shared" si="10"/>
        <v>298</v>
      </c>
    </row>
    <row r="44" spans="1:34" ht="13.5">
      <c r="A44" s="16" t="str">
        <f t="shared" si="0"/>
        <v>41</v>
      </c>
      <c r="B44" s="16">
        <f t="shared" si="27"/>
      </c>
      <c r="C44" s="17" t="s">
        <v>430</v>
      </c>
      <c r="D44" s="36">
        <v>1959</v>
      </c>
      <c r="E44" s="19">
        <f>ROUND(F44+IF('Men''s Epée'!$A$3=1,G44,0)+LARGE($S44:$Y44,1)+LARGE($S44:$Y44,2),0)</f>
        <v>297</v>
      </c>
      <c r="F44" s="20"/>
      <c r="G44" s="21"/>
      <c r="H44" s="21" t="s">
        <v>5</v>
      </c>
      <c r="I44" s="22">
        <f t="shared" si="24"/>
        <v>0</v>
      </c>
      <c r="J44" s="21" t="s">
        <v>5</v>
      </c>
      <c r="K44" s="22">
        <f t="shared" si="25"/>
        <v>0</v>
      </c>
      <c r="L44" s="21" t="s">
        <v>5</v>
      </c>
      <c r="M44" s="22">
        <f t="shared" si="26"/>
        <v>0</v>
      </c>
      <c r="N44" s="23">
        <v>-296.562</v>
      </c>
      <c r="O44" s="23"/>
      <c r="P44" s="23"/>
      <c r="Q44" s="24"/>
      <c r="S44" s="25">
        <f t="shared" si="28"/>
        <v>0</v>
      </c>
      <c r="T44" s="25">
        <f t="shared" si="29"/>
        <v>0</v>
      </c>
      <c r="U44" s="25">
        <f t="shared" si="30"/>
        <v>0</v>
      </c>
      <c r="V44" s="25">
        <f t="shared" si="31"/>
        <v>296.562</v>
      </c>
      <c r="W44" s="25">
        <f t="shared" si="32"/>
        <v>0</v>
      </c>
      <c r="X44" s="25">
        <f t="shared" si="33"/>
        <v>0</v>
      </c>
      <c r="Y44" s="25">
        <f t="shared" si="34"/>
        <v>0</v>
      </c>
      <c r="AA44" s="12">
        <f>IF('Men''s Epée'!$S$3=TRUE,I44,0)</f>
        <v>0</v>
      </c>
      <c r="AB44" s="12">
        <f>IF('Men''s Epée'!$T$3=TRUE,K44,0)</f>
        <v>0</v>
      </c>
      <c r="AC44" s="12">
        <f>IF('Men''s Epée'!$U$3=TRUE,M44,0)</f>
        <v>0</v>
      </c>
      <c r="AD44" s="26">
        <f t="shared" si="35"/>
        <v>0</v>
      </c>
      <c r="AE44" s="26">
        <f t="shared" si="36"/>
        <v>0</v>
      </c>
      <c r="AF44" s="26">
        <f t="shared" si="37"/>
        <v>0</v>
      </c>
      <c r="AG44" s="26">
        <f t="shared" si="38"/>
        <v>0</v>
      </c>
      <c r="AH44" s="12">
        <f t="shared" si="10"/>
        <v>0</v>
      </c>
    </row>
    <row r="45" spans="1:34" ht="13.5">
      <c r="A45" s="16" t="str">
        <f t="shared" si="0"/>
        <v>42</v>
      </c>
      <c r="B45" s="16">
        <f t="shared" si="27"/>
      </c>
      <c r="C45" s="17" t="s">
        <v>9</v>
      </c>
      <c r="D45" s="18">
        <v>1947</v>
      </c>
      <c r="E45" s="19">
        <f>ROUND(F45+IF('Men''s Epée'!$A$3=1,G45,0)+LARGE($S45:$Y45,1)+LARGE($S45:$Y45,2),0)</f>
        <v>293</v>
      </c>
      <c r="F45" s="20"/>
      <c r="G45" s="21"/>
      <c r="H45" s="21" t="s">
        <v>5</v>
      </c>
      <c r="I45" s="22">
        <f t="shared" si="24"/>
        <v>0</v>
      </c>
      <c r="J45" s="21">
        <v>29.5</v>
      </c>
      <c r="K45" s="22">
        <f t="shared" si="25"/>
        <v>292.5</v>
      </c>
      <c r="L45" s="21" t="s">
        <v>5</v>
      </c>
      <c r="M45" s="22">
        <f t="shared" si="26"/>
        <v>0</v>
      </c>
      <c r="N45" s="23"/>
      <c r="O45" s="23"/>
      <c r="P45" s="23"/>
      <c r="Q45" s="24"/>
      <c r="S45" s="25">
        <f t="shared" si="28"/>
        <v>0</v>
      </c>
      <c r="T45" s="25">
        <f t="shared" si="29"/>
        <v>292.5</v>
      </c>
      <c r="U45" s="25">
        <f t="shared" si="30"/>
        <v>0</v>
      </c>
      <c r="V45" s="25">
        <f t="shared" si="31"/>
        <v>0</v>
      </c>
      <c r="W45" s="25">
        <f t="shared" si="32"/>
        <v>0</v>
      </c>
      <c r="X45" s="25">
        <f t="shared" si="33"/>
        <v>0</v>
      </c>
      <c r="Y45" s="25">
        <f t="shared" si="34"/>
        <v>0</v>
      </c>
      <c r="AA45" s="12">
        <f>IF('Men''s Epée'!$S$3=TRUE,I45,0)</f>
        <v>0</v>
      </c>
      <c r="AB45" s="12">
        <f>IF('Men''s Epée'!$T$3=TRUE,K45,0)</f>
        <v>292.5</v>
      </c>
      <c r="AC45" s="12">
        <f>IF('Men''s Epée'!$U$3=TRUE,M45,0)</f>
        <v>0</v>
      </c>
      <c r="AD45" s="26">
        <f t="shared" si="35"/>
        <v>0</v>
      </c>
      <c r="AE45" s="26">
        <f t="shared" si="36"/>
        <v>0</v>
      </c>
      <c r="AF45" s="26">
        <f t="shared" si="37"/>
        <v>0</v>
      </c>
      <c r="AG45" s="26">
        <f t="shared" si="38"/>
        <v>0</v>
      </c>
      <c r="AH45" s="12">
        <f t="shared" si="10"/>
        <v>293</v>
      </c>
    </row>
    <row r="46" spans="1:34" ht="13.5">
      <c r="A46" s="16" t="str">
        <f t="shared" si="0"/>
        <v>43</v>
      </c>
      <c r="B46" s="16" t="str">
        <f>TRIM(IF(D46&gt;=JuniorCutoff,"#",""))</f>
        <v>#</v>
      </c>
      <c r="C46" s="17" t="s">
        <v>191</v>
      </c>
      <c r="D46" s="18">
        <v>1984</v>
      </c>
      <c r="E46" s="19">
        <f>ROUND(F46+IF('Men''s Epée'!$A$3=1,G46,0)+LARGE($S46:$Y46,1)+LARGE($S46:$Y46,2),0)</f>
        <v>288</v>
      </c>
      <c r="F46" s="20"/>
      <c r="G46" s="21"/>
      <c r="H46" s="21">
        <v>40</v>
      </c>
      <c r="I46" s="22">
        <f t="shared" si="24"/>
        <v>240</v>
      </c>
      <c r="J46" s="21" t="s">
        <v>5</v>
      </c>
      <c r="K46" s="22">
        <f t="shared" si="25"/>
        <v>0</v>
      </c>
      <c r="L46" s="21" t="s">
        <v>5</v>
      </c>
      <c r="M46" s="22">
        <f t="shared" si="26"/>
        <v>0</v>
      </c>
      <c r="N46" s="23">
        <v>48.048</v>
      </c>
      <c r="O46" s="23"/>
      <c r="P46" s="23"/>
      <c r="Q46" s="24"/>
      <c r="S46" s="25">
        <f t="shared" si="28"/>
        <v>240</v>
      </c>
      <c r="T46" s="25">
        <f t="shared" si="29"/>
        <v>0</v>
      </c>
      <c r="U46" s="25">
        <f t="shared" si="30"/>
        <v>0</v>
      </c>
      <c r="V46" s="25">
        <f t="shared" si="31"/>
        <v>48.048</v>
      </c>
      <c r="W46" s="25">
        <f t="shared" si="32"/>
        <v>0</v>
      </c>
      <c r="X46" s="25">
        <f t="shared" si="33"/>
        <v>0</v>
      </c>
      <c r="Y46" s="25">
        <f t="shared" si="34"/>
        <v>0</v>
      </c>
      <c r="AA46" s="12">
        <f>IF('Men''s Epée'!$S$3=TRUE,I46,0)</f>
        <v>240</v>
      </c>
      <c r="AB46" s="12">
        <f>IF('Men''s Epée'!$T$3=TRUE,K46,0)</f>
        <v>0</v>
      </c>
      <c r="AC46" s="12">
        <f>IF('Men''s Epée'!$U$3=TRUE,M46,0)</f>
        <v>0</v>
      </c>
      <c r="AD46" s="26">
        <f t="shared" si="35"/>
        <v>48.048</v>
      </c>
      <c r="AE46" s="26">
        <f t="shared" si="36"/>
        <v>0</v>
      </c>
      <c r="AF46" s="26">
        <f t="shared" si="37"/>
        <v>0</v>
      </c>
      <c r="AG46" s="26">
        <f t="shared" si="38"/>
        <v>0</v>
      </c>
      <c r="AH46" s="12">
        <f t="shared" si="10"/>
        <v>288</v>
      </c>
    </row>
    <row r="47" spans="1:34" ht="13.5">
      <c r="A47" s="16" t="str">
        <f t="shared" si="0"/>
        <v>44T</v>
      </c>
      <c r="B47" s="16">
        <f t="shared" si="27"/>
      </c>
      <c r="C47" s="38" t="s">
        <v>318</v>
      </c>
      <c r="D47" s="36">
        <v>1960</v>
      </c>
      <c r="E47" s="19">
        <f>ROUND(F47+IF('Men''s Epée'!$A$3=1,G47,0)+LARGE($S47:$Y47,1)+LARGE($S47:$Y47,2),0)</f>
        <v>280</v>
      </c>
      <c r="F47" s="20"/>
      <c r="G47" s="21"/>
      <c r="H47" s="21" t="s">
        <v>5</v>
      </c>
      <c r="I47" s="22">
        <f t="shared" si="24"/>
        <v>0</v>
      </c>
      <c r="J47" s="21">
        <v>32</v>
      </c>
      <c r="K47" s="22">
        <f t="shared" si="25"/>
        <v>280</v>
      </c>
      <c r="L47" s="21" t="s">
        <v>5</v>
      </c>
      <c r="M47" s="22">
        <f t="shared" si="26"/>
        <v>0</v>
      </c>
      <c r="N47" s="23"/>
      <c r="O47" s="23"/>
      <c r="P47" s="23"/>
      <c r="Q47" s="24"/>
      <c r="S47" s="25">
        <f t="shared" si="28"/>
        <v>0</v>
      </c>
      <c r="T47" s="25">
        <f t="shared" si="29"/>
        <v>280</v>
      </c>
      <c r="U47" s="25">
        <f t="shared" si="30"/>
        <v>0</v>
      </c>
      <c r="V47" s="25">
        <f t="shared" si="31"/>
        <v>0</v>
      </c>
      <c r="W47" s="25">
        <f t="shared" si="32"/>
        <v>0</v>
      </c>
      <c r="X47" s="25">
        <f t="shared" si="33"/>
        <v>0</v>
      </c>
      <c r="Y47" s="25">
        <f t="shared" si="34"/>
        <v>0</v>
      </c>
      <c r="AA47" s="12">
        <f>IF('Men''s Epée'!$S$3=TRUE,I47,0)</f>
        <v>0</v>
      </c>
      <c r="AB47" s="12">
        <f>IF('Men''s Epée'!$T$3=TRUE,K47,0)</f>
        <v>280</v>
      </c>
      <c r="AC47" s="12">
        <f>IF('Men''s Epée'!$U$3=TRUE,M47,0)</f>
        <v>0</v>
      </c>
      <c r="AD47" s="26">
        <f t="shared" si="35"/>
        <v>0</v>
      </c>
      <c r="AE47" s="26">
        <f t="shared" si="36"/>
        <v>0</v>
      </c>
      <c r="AF47" s="26">
        <f t="shared" si="37"/>
        <v>0</v>
      </c>
      <c r="AG47" s="26">
        <f t="shared" si="38"/>
        <v>0</v>
      </c>
      <c r="AH47" s="12">
        <f t="shared" si="10"/>
        <v>280</v>
      </c>
    </row>
    <row r="48" spans="1:34" ht="13.5">
      <c r="A48" s="16" t="str">
        <f t="shared" si="0"/>
        <v>44T</v>
      </c>
      <c r="B48" s="16">
        <f>TRIM(IF(D48&gt;=JuniorCutoff,"#",""))</f>
      </c>
      <c r="C48" s="17" t="s">
        <v>145</v>
      </c>
      <c r="D48" s="18">
        <v>1974</v>
      </c>
      <c r="E48" s="19">
        <f>ROUND(F48+IF('Men''s Epée'!$A$3=1,G48,0)+LARGE($S48:$Y48,1)+LARGE($S48:$Y48,2),0)</f>
        <v>280</v>
      </c>
      <c r="F48" s="20"/>
      <c r="G48" s="21"/>
      <c r="H48" s="21" t="s">
        <v>5</v>
      </c>
      <c r="I48" s="22">
        <f t="shared" si="24"/>
        <v>0</v>
      </c>
      <c r="J48" s="21" t="s">
        <v>5</v>
      </c>
      <c r="K48" s="22">
        <f t="shared" si="25"/>
        <v>0</v>
      </c>
      <c r="L48" s="21">
        <v>31</v>
      </c>
      <c r="M48" s="22">
        <f t="shared" si="26"/>
        <v>280</v>
      </c>
      <c r="N48" s="23"/>
      <c r="O48" s="23"/>
      <c r="P48" s="23"/>
      <c r="Q48" s="24"/>
      <c r="S48" s="25">
        <f t="shared" si="28"/>
        <v>0</v>
      </c>
      <c r="T48" s="25">
        <f t="shared" si="29"/>
        <v>0</v>
      </c>
      <c r="U48" s="25">
        <f t="shared" si="30"/>
        <v>280</v>
      </c>
      <c r="V48" s="25">
        <f t="shared" si="31"/>
        <v>0</v>
      </c>
      <c r="W48" s="25">
        <f t="shared" si="32"/>
        <v>0</v>
      </c>
      <c r="X48" s="25">
        <f t="shared" si="33"/>
        <v>0</v>
      </c>
      <c r="Y48" s="25">
        <f t="shared" si="34"/>
        <v>0</v>
      </c>
      <c r="AA48" s="12">
        <f>IF('Men''s Epée'!$S$3=TRUE,I48,0)</f>
        <v>0</v>
      </c>
      <c r="AB48" s="12">
        <f>IF('Men''s Epée'!$T$3=TRUE,K48,0)</f>
        <v>0</v>
      </c>
      <c r="AC48" s="12">
        <f>IF('Men''s Epée'!$U$3=TRUE,M48,0)</f>
        <v>280</v>
      </c>
      <c r="AD48" s="26">
        <f t="shared" si="35"/>
        <v>0</v>
      </c>
      <c r="AE48" s="26">
        <f t="shared" si="36"/>
        <v>0</v>
      </c>
      <c r="AF48" s="26">
        <f t="shared" si="37"/>
        <v>0</v>
      </c>
      <c r="AG48" s="26">
        <f t="shared" si="38"/>
        <v>0</v>
      </c>
      <c r="AH48" s="12">
        <f aca="true" t="shared" si="39" ref="AH48:AH60">LARGE(AA48:AG48,1)+LARGE(AA48:AG48,2)+F48</f>
        <v>280</v>
      </c>
    </row>
    <row r="49" spans="1:34" ht="13.5">
      <c r="A49" s="16" t="str">
        <f t="shared" si="0"/>
        <v>46</v>
      </c>
      <c r="B49" s="16">
        <f t="shared" si="27"/>
      </c>
      <c r="C49" s="17" t="s">
        <v>248</v>
      </c>
      <c r="D49" s="18">
        <v>1948</v>
      </c>
      <c r="E49" s="19">
        <f>ROUND(F49+IF('Men''s Epée'!$A$3=1,G49,0)+LARGE($S49:$Y49,1)+LARGE($S49:$Y49,2),0)</f>
        <v>275</v>
      </c>
      <c r="F49" s="20"/>
      <c r="G49" s="21"/>
      <c r="H49" s="21">
        <v>33</v>
      </c>
      <c r="I49" s="22">
        <f t="shared" si="24"/>
        <v>275</v>
      </c>
      <c r="J49" s="21" t="s">
        <v>5</v>
      </c>
      <c r="K49" s="22">
        <f t="shared" si="25"/>
        <v>0</v>
      </c>
      <c r="L49" s="21" t="s">
        <v>5</v>
      </c>
      <c r="M49" s="22">
        <f t="shared" si="26"/>
        <v>0</v>
      </c>
      <c r="N49" s="23"/>
      <c r="O49" s="23"/>
      <c r="P49" s="23"/>
      <c r="Q49" s="24"/>
      <c r="S49" s="25">
        <f t="shared" si="28"/>
        <v>275</v>
      </c>
      <c r="T49" s="25">
        <f t="shared" si="29"/>
        <v>0</v>
      </c>
      <c r="U49" s="25">
        <f t="shared" si="30"/>
        <v>0</v>
      </c>
      <c r="V49" s="25">
        <f t="shared" si="31"/>
        <v>0</v>
      </c>
      <c r="W49" s="25">
        <f t="shared" si="32"/>
        <v>0</v>
      </c>
      <c r="X49" s="25">
        <f t="shared" si="33"/>
        <v>0</v>
      </c>
      <c r="Y49" s="25">
        <f t="shared" si="34"/>
        <v>0</v>
      </c>
      <c r="AA49" s="12">
        <f>IF('Men''s Epée'!$S$3=TRUE,I49,0)</f>
        <v>275</v>
      </c>
      <c r="AB49" s="12">
        <f>IF('Men''s Epée'!$T$3=TRUE,K49,0)</f>
        <v>0</v>
      </c>
      <c r="AC49" s="12">
        <f>IF('Men''s Epée'!$U$3=TRUE,M49,0)</f>
        <v>0</v>
      </c>
      <c r="AD49" s="26">
        <f t="shared" si="35"/>
        <v>0</v>
      </c>
      <c r="AE49" s="26">
        <f t="shared" si="36"/>
        <v>0</v>
      </c>
      <c r="AF49" s="26">
        <f t="shared" si="37"/>
        <v>0</v>
      </c>
      <c r="AG49" s="26">
        <f t="shared" si="38"/>
        <v>0</v>
      </c>
      <c r="AH49" s="12">
        <f t="shared" si="39"/>
        <v>275</v>
      </c>
    </row>
    <row r="50" spans="1:34" ht="13.5">
      <c r="A50" s="16" t="str">
        <f t="shared" si="0"/>
        <v>47</v>
      </c>
      <c r="B50" s="16">
        <f t="shared" si="27"/>
      </c>
      <c r="C50" s="17" t="s">
        <v>249</v>
      </c>
      <c r="D50" s="18">
        <v>1965</v>
      </c>
      <c r="E50" s="19">
        <f>ROUND(F50+IF('Men''s Epée'!$A$3=1,G50,0)+LARGE($S50:$Y50,1)+LARGE($S50:$Y50,2),0)</f>
        <v>270</v>
      </c>
      <c r="F50" s="20"/>
      <c r="G50" s="21"/>
      <c r="H50" s="21">
        <v>34</v>
      </c>
      <c r="I50" s="22">
        <f t="shared" si="24"/>
        <v>270</v>
      </c>
      <c r="J50" s="21" t="s">
        <v>5</v>
      </c>
      <c r="K50" s="22">
        <f t="shared" si="25"/>
        <v>0</v>
      </c>
      <c r="L50" s="21" t="s">
        <v>5</v>
      </c>
      <c r="M50" s="22">
        <f t="shared" si="26"/>
        <v>0</v>
      </c>
      <c r="N50" s="23"/>
      <c r="O50" s="23"/>
      <c r="P50" s="23"/>
      <c r="Q50" s="24"/>
      <c r="S50" s="25">
        <f t="shared" si="28"/>
        <v>270</v>
      </c>
      <c r="T50" s="25">
        <f t="shared" si="29"/>
        <v>0</v>
      </c>
      <c r="U50" s="25">
        <f t="shared" si="30"/>
        <v>0</v>
      </c>
      <c r="V50" s="25">
        <f t="shared" si="31"/>
        <v>0</v>
      </c>
      <c r="W50" s="25">
        <f t="shared" si="32"/>
        <v>0</v>
      </c>
      <c r="X50" s="25">
        <f t="shared" si="33"/>
        <v>0</v>
      </c>
      <c r="Y50" s="25">
        <f t="shared" si="34"/>
        <v>0</v>
      </c>
      <c r="AA50" s="12">
        <f>IF('Men''s Epée'!$S$3=TRUE,I50,0)</f>
        <v>270</v>
      </c>
      <c r="AB50" s="12">
        <f>IF('Men''s Epée'!$T$3=TRUE,K50,0)</f>
        <v>0</v>
      </c>
      <c r="AC50" s="12">
        <f>IF('Men''s Epée'!$U$3=TRUE,M50,0)</f>
        <v>0</v>
      </c>
      <c r="AD50" s="26">
        <f t="shared" si="35"/>
        <v>0</v>
      </c>
      <c r="AE50" s="26">
        <f t="shared" si="36"/>
        <v>0</v>
      </c>
      <c r="AF50" s="26">
        <f t="shared" si="37"/>
        <v>0</v>
      </c>
      <c r="AG50" s="26">
        <f t="shared" si="38"/>
        <v>0</v>
      </c>
      <c r="AH50" s="12">
        <f t="shared" si="39"/>
        <v>270</v>
      </c>
    </row>
    <row r="51" spans="1:34" ht="13.5">
      <c r="A51" s="16" t="str">
        <f t="shared" si="0"/>
        <v>48</v>
      </c>
      <c r="B51" s="16">
        <f t="shared" si="27"/>
      </c>
      <c r="C51" s="17" t="s">
        <v>250</v>
      </c>
      <c r="D51" s="18">
        <v>1973</v>
      </c>
      <c r="E51" s="19">
        <f>ROUND(F51+IF('Men''s Epée'!$A$3=1,G51,0)+LARGE($S51:$Y51,1)+LARGE($S51:$Y51,2),0)</f>
        <v>260</v>
      </c>
      <c r="F51" s="20"/>
      <c r="G51" s="21"/>
      <c r="H51" s="21">
        <v>36</v>
      </c>
      <c r="I51" s="22">
        <f t="shared" si="24"/>
        <v>260</v>
      </c>
      <c r="J51" s="21" t="s">
        <v>5</v>
      </c>
      <c r="K51" s="22">
        <f t="shared" si="25"/>
        <v>0</v>
      </c>
      <c r="L51" s="21" t="s">
        <v>5</v>
      </c>
      <c r="M51" s="22">
        <f t="shared" si="26"/>
        <v>0</v>
      </c>
      <c r="N51" s="23"/>
      <c r="O51" s="23"/>
      <c r="P51" s="23"/>
      <c r="Q51" s="24"/>
      <c r="S51" s="25">
        <f t="shared" si="28"/>
        <v>260</v>
      </c>
      <c r="T51" s="25">
        <f t="shared" si="29"/>
        <v>0</v>
      </c>
      <c r="U51" s="25">
        <f t="shared" si="30"/>
        <v>0</v>
      </c>
      <c r="V51" s="25">
        <f t="shared" si="31"/>
        <v>0</v>
      </c>
      <c r="W51" s="25">
        <f t="shared" si="32"/>
        <v>0</v>
      </c>
      <c r="X51" s="25">
        <f t="shared" si="33"/>
        <v>0</v>
      </c>
      <c r="Y51" s="25">
        <f t="shared" si="34"/>
        <v>0</v>
      </c>
      <c r="AA51" s="12">
        <f>IF('Men''s Epée'!$S$3=TRUE,I51,0)</f>
        <v>260</v>
      </c>
      <c r="AB51" s="12">
        <f>IF('Men''s Epée'!$T$3=TRUE,K51,0)</f>
        <v>0</v>
      </c>
      <c r="AC51" s="12">
        <f>IF('Men''s Epée'!$U$3=TRUE,M51,0)</f>
        <v>0</v>
      </c>
      <c r="AD51" s="26">
        <f t="shared" si="35"/>
        <v>0</v>
      </c>
      <c r="AE51" s="26">
        <f t="shared" si="36"/>
        <v>0</v>
      </c>
      <c r="AF51" s="26">
        <f t="shared" si="37"/>
        <v>0</v>
      </c>
      <c r="AG51" s="26">
        <f t="shared" si="38"/>
        <v>0</v>
      </c>
      <c r="AH51" s="12">
        <f t="shared" si="39"/>
        <v>260</v>
      </c>
    </row>
    <row r="52" spans="1:34" ht="13.5">
      <c r="A52" s="16" t="str">
        <f t="shared" si="0"/>
        <v>49</v>
      </c>
      <c r="B52" s="16">
        <f t="shared" si="27"/>
      </c>
      <c r="C52" s="17" t="s">
        <v>297</v>
      </c>
      <c r="D52" s="18">
        <v>1966</v>
      </c>
      <c r="E52" s="19">
        <f>ROUND(F52+IF('Men''s Epée'!$A$3=1,G52,0)+LARGE($S52:$Y52,1)+LARGE($S52:$Y52,2),0)</f>
        <v>250</v>
      </c>
      <c r="F52" s="20"/>
      <c r="G52" s="21"/>
      <c r="H52" s="21">
        <v>38</v>
      </c>
      <c r="I52" s="22">
        <f t="shared" si="24"/>
        <v>250</v>
      </c>
      <c r="J52" s="21" t="s">
        <v>5</v>
      </c>
      <c r="K52" s="22">
        <f t="shared" si="25"/>
        <v>0</v>
      </c>
      <c r="L52" s="21" t="s">
        <v>5</v>
      </c>
      <c r="M52" s="22">
        <f t="shared" si="26"/>
        <v>0</v>
      </c>
      <c r="N52" s="23"/>
      <c r="O52" s="23"/>
      <c r="P52" s="23"/>
      <c r="Q52" s="24"/>
      <c r="S52" s="25">
        <f t="shared" si="28"/>
        <v>250</v>
      </c>
      <c r="T52" s="25">
        <f t="shared" si="29"/>
        <v>0</v>
      </c>
      <c r="U52" s="25">
        <f t="shared" si="30"/>
        <v>0</v>
      </c>
      <c r="V52" s="25">
        <f t="shared" si="31"/>
        <v>0</v>
      </c>
      <c r="W52" s="25">
        <f t="shared" si="32"/>
        <v>0</v>
      </c>
      <c r="X52" s="25">
        <f t="shared" si="33"/>
        <v>0</v>
      </c>
      <c r="Y52" s="25">
        <f t="shared" si="34"/>
        <v>0</v>
      </c>
      <c r="AA52" s="12">
        <f>IF('Men''s Epée'!$S$3=TRUE,I52,0)</f>
        <v>250</v>
      </c>
      <c r="AB52" s="12">
        <f>IF('Men''s Epée'!$T$3=TRUE,K52,0)</f>
        <v>0</v>
      </c>
      <c r="AC52" s="12">
        <f>IF('Men''s Epée'!$U$3=TRUE,M52,0)</f>
        <v>0</v>
      </c>
      <c r="AD52" s="26">
        <f t="shared" si="35"/>
        <v>0</v>
      </c>
      <c r="AE52" s="26">
        <f t="shared" si="36"/>
        <v>0</v>
      </c>
      <c r="AF52" s="26">
        <f t="shared" si="37"/>
        <v>0</v>
      </c>
      <c r="AG52" s="26">
        <f t="shared" si="38"/>
        <v>0</v>
      </c>
      <c r="AH52" s="12">
        <f t="shared" si="39"/>
        <v>250</v>
      </c>
    </row>
    <row r="53" spans="1:34" ht="13.5">
      <c r="A53" s="16" t="str">
        <f t="shared" si="0"/>
        <v>50</v>
      </c>
      <c r="B53" s="16">
        <f t="shared" si="27"/>
      </c>
      <c r="C53" s="17" t="s">
        <v>138</v>
      </c>
      <c r="D53" s="18">
        <v>1976</v>
      </c>
      <c r="E53" s="19">
        <f>ROUND(F53+IF('Men''s Epée'!$A$3=1,G53,0)+LARGE($S53:$Y53,1)+LARGE($S53:$Y53,2),0)</f>
        <v>235</v>
      </c>
      <c r="F53" s="20"/>
      <c r="G53" s="21"/>
      <c r="H53" s="21">
        <v>41</v>
      </c>
      <c r="I53" s="22">
        <f t="shared" si="24"/>
        <v>235</v>
      </c>
      <c r="J53" s="21" t="s">
        <v>5</v>
      </c>
      <c r="K53" s="22">
        <f t="shared" si="25"/>
        <v>0</v>
      </c>
      <c r="L53" s="21" t="s">
        <v>5</v>
      </c>
      <c r="M53" s="22">
        <f t="shared" si="26"/>
        <v>0</v>
      </c>
      <c r="N53" s="23"/>
      <c r="O53" s="23"/>
      <c r="P53" s="23"/>
      <c r="Q53" s="24"/>
      <c r="S53" s="25">
        <f t="shared" si="28"/>
        <v>235</v>
      </c>
      <c r="T53" s="25">
        <f t="shared" si="29"/>
        <v>0</v>
      </c>
      <c r="U53" s="25">
        <f t="shared" si="30"/>
        <v>0</v>
      </c>
      <c r="V53" s="25">
        <f t="shared" si="31"/>
        <v>0</v>
      </c>
      <c r="W53" s="25">
        <f t="shared" si="32"/>
        <v>0</v>
      </c>
      <c r="X53" s="25">
        <f t="shared" si="33"/>
        <v>0</v>
      </c>
      <c r="Y53" s="25">
        <f t="shared" si="34"/>
        <v>0</v>
      </c>
      <c r="AA53" s="12">
        <f>IF('Men''s Epée'!$S$3=TRUE,I53,0)</f>
        <v>235</v>
      </c>
      <c r="AB53" s="12">
        <f>IF('Men''s Epée'!$T$3=TRUE,K53,0)</f>
        <v>0</v>
      </c>
      <c r="AC53" s="12">
        <f>IF('Men''s Epée'!$U$3=TRUE,M53,0)</f>
        <v>0</v>
      </c>
      <c r="AD53" s="26">
        <f t="shared" si="35"/>
        <v>0</v>
      </c>
      <c r="AE53" s="26">
        <f t="shared" si="36"/>
        <v>0</v>
      </c>
      <c r="AF53" s="26">
        <f t="shared" si="37"/>
        <v>0</v>
      </c>
      <c r="AG53" s="26">
        <f t="shared" si="38"/>
        <v>0</v>
      </c>
      <c r="AH53" s="12">
        <f t="shared" si="39"/>
        <v>235</v>
      </c>
    </row>
    <row r="54" spans="1:34" ht="13.5">
      <c r="A54" s="16" t="str">
        <f t="shared" si="0"/>
        <v>51T</v>
      </c>
      <c r="B54" s="16">
        <f t="shared" si="27"/>
      </c>
      <c r="C54" s="17" t="s">
        <v>139</v>
      </c>
      <c r="D54" s="18">
        <v>1968</v>
      </c>
      <c r="E54" s="19">
        <f>ROUND(F54+IF('Men''s Epée'!$A$3=1,G54,0)+LARGE($S54:$Y54,1)+LARGE($S54:$Y54,2),0)</f>
        <v>225</v>
      </c>
      <c r="F54" s="20"/>
      <c r="G54" s="21"/>
      <c r="H54" s="21">
        <v>43</v>
      </c>
      <c r="I54" s="22">
        <f t="shared" si="24"/>
        <v>225</v>
      </c>
      <c r="J54" s="21" t="s">
        <v>5</v>
      </c>
      <c r="K54" s="22">
        <f t="shared" si="25"/>
        <v>0</v>
      </c>
      <c r="L54" s="21" t="s">
        <v>5</v>
      </c>
      <c r="M54" s="22">
        <f t="shared" si="26"/>
        <v>0</v>
      </c>
      <c r="N54" s="23"/>
      <c r="O54" s="23"/>
      <c r="P54" s="23"/>
      <c r="Q54" s="24"/>
      <c r="S54" s="25">
        <f t="shared" si="28"/>
        <v>225</v>
      </c>
      <c r="T54" s="25">
        <f t="shared" si="29"/>
        <v>0</v>
      </c>
      <c r="U54" s="25">
        <f t="shared" si="30"/>
        <v>0</v>
      </c>
      <c r="V54" s="25">
        <f t="shared" si="31"/>
        <v>0</v>
      </c>
      <c r="W54" s="25">
        <f t="shared" si="32"/>
        <v>0</v>
      </c>
      <c r="X54" s="25">
        <f t="shared" si="33"/>
        <v>0</v>
      </c>
      <c r="Y54" s="25">
        <f t="shared" si="34"/>
        <v>0</v>
      </c>
      <c r="AA54" s="12">
        <f>IF('Men''s Epée'!$S$3=TRUE,I54,0)</f>
        <v>225</v>
      </c>
      <c r="AB54" s="12">
        <f>IF('Men''s Epée'!$T$3=TRUE,K54,0)</f>
        <v>0</v>
      </c>
      <c r="AC54" s="12">
        <f>IF('Men''s Epée'!$U$3=TRUE,M54,0)</f>
        <v>0</v>
      </c>
      <c r="AD54" s="26">
        <f t="shared" si="35"/>
        <v>0</v>
      </c>
      <c r="AE54" s="26">
        <f t="shared" si="36"/>
        <v>0</v>
      </c>
      <c r="AF54" s="26">
        <f t="shared" si="37"/>
        <v>0</v>
      </c>
      <c r="AG54" s="26">
        <f t="shared" si="38"/>
        <v>0</v>
      </c>
      <c r="AH54" s="12">
        <f t="shared" si="39"/>
        <v>225</v>
      </c>
    </row>
    <row r="55" spans="1:34" ht="13.5">
      <c r="A55" s="16" t="str">
        <f t="shared" si="0"/>
        <v>51T</v>
      </c>
      <c r="B55" s="16">
        <f t="shared" si="27"/>
      </c>
      <c r="C55" s="38" t="s">
        <v>319</v>
      </c>
      <c r="D55" s="36">
        <v>1966</v>
      </c>
      <c r="E55" s="19">
        <f>ROUND(F55+IF('Men''s Epée'!$A$3=1,G55,0)+LARGE($S55:$Y55,1)+LARGE($S55:$Y55,2),0)</f>
        <v>225</v>
      </c>
      <c r="F55" s="20"/>
      <c r="G55" s="21"/>
      <c r="H55" s="21" t="s">
        <v>5</v>
      </c>
      <c r="I55" s="22">
        <f t="shared" si="24"/>
        <v>0</v>
      </c>
      <c r="J55" s="21">
        <v>43</v>
      </c>
      <c r="K55" s="22">
        <f t="shared" si="25"/>
        <v>225</v>
      </c>
      <c r="L55" s="21" t="s">
        <v>5</v>
      </c>
      <c r="M55" s="22">
        <f t="shared" si="26"/>
        <v>0</v>
      </c>
      <c r="N55" s="23"/>
      <c r="O55" s="23"/>
      <c r="P55" s="23"/>
      <c r="Q55" s="24"/>
      <c r="S55" s="25">
        <f t="shared" si="28"/>
        <v>0</v>
      </c>
      <c r="T55" s="25">
        <f t="shared" si="29"/>
        <v>225</v>
      </c>
      <c r="U55" s="25">
        <f t="shared" si="30"/>
        <v>0</v>
      </c>
      <c r="V55" s="25">
        <f t="shared" si="31"/>
        <v>0</v>
      </c>
      <c r="W55" s="25">
        <f t="shared" si="32"/>
        <v>0</v>
      </c>
      <c r="X55" s="25">
        <f t="shared" si="33"/>
        <v>0</v>
      </c>
      <c r="Y55" s="25">
        <f t="shared" si="34"/>
        <v>0</v>
      </c>
      <c r="AA55" s="12">
        <f>IF('Men''s Epée'!$S$3=TRUE,I55,0)</f>
        <v>0</v>
      </c>
      <c r="AB55" s="12">
        <f>IF('Men''s Epée'!$T$3=TRUE,K55,0)</f>
        <v>225</v>
      </c>
      <c r="AC55" s="12">
        <f>IF('Men''s Epée'!$U$3=TRUE,M55,0)</f>
        <v>0</v>
      </c>
      <c r="AD55" s="26">
        <f t="shared" si="35"/>
        <v>0</v>
      </c>
      <c r="AE55" s="26">
        <f t="shared" si="36"/>
        <v>0</v>
      </c>
      <c r="AF55" s="26">
        <f t="shared" si="37"/>
        <v>0</v>
      </c>
      <c r="AG55" s="26">
        <f t="shared" si="38"/>
        <v>0</v>
      </c>
      <c r="AH55" s="12">
        <f t="shared" si="39"/>
        <v>225</v>
      </c>
    </row>
    <row r="56" spans="1:34" ht="13.5">
      <c r="A56" s="16" t="str">
        <f t="shared" si="0"/>
        <v>53</v>
      </c>
      <c r="B56" s="16">
        <f t="shared" si="27"/>
      </c>
      <c r="C56" s="17" t="s">
        <v>140</v>
      </c>
      <c r="D56" s="36">
        <v>1978</v>
      </c>
      <c r="E56" s="19">
        <f>ROUND(F56+IF('Men''s Epée'!$A$3=1,G56,0)+LARGE($S56:$Y56,1)+LARGE($S56:$Y56,2),0)</f>
        <v>215</v>
      </c>
      <c r="F56" s="20"/>
      <c r="G56" s="21"/>
      <c r="H56" s="21">
        <v>45</v>
      </c>
      <c r="I56" s="22">
        <f t="shared" si="24"/>
        <v>215</v>
      </c>
      <c r="J56" s="21" t="s">
        <v>5</v>
      </c>
      <c r="K56" s="22">
        <f t="shared" si="25"/>
        <v>0</v>
      </c>
      <c r="L56" s="21" t="s">
        <v>5</v>
      </c>
      <c r="M56" s="22">
        <f t="shared" si="26"/>
        <v>0</v>
      </c>
      <c r="N56" s="23"/>
      <c r="O56" s="23"/>
      <c r="P56" s="23"/>
      <c r="Q56" s="24"/>
      <c r="S56" s="25">
        <f t="shared" si="28"/>
        <v>215</v>
      </c>
      <c r="T56" s="25">
        <f t="shared" si="29"/>
        <v>0</v>
      </c>
      <c r="U56" s="25">
        <f t="shared" si="30"/>
        <v>0</v>
      </c>
      <c r="V56" s="25">
        <f t="shared" si="31"/>
        <v>0</v>
      </c>
      <c r="W56" s="25">
        <f t="shared" si="32"/>
        <v>0</v>
      </c>
      <c r="X56" s="25">
        <f t="shared" si="33"/>
        <v>0</v>
      </c>
      <c r="Y56" s="25">
        <f t="shared" si="34"/>
        <v>0</v>
      </c>
      <c r="AA56" s="12">
        <f>IF('Men''s Epée'!$S$3=TRUE,I56,0)</f>
        <v>215</v>
      </c>
      <c r="AB56" s="12">
        <f>IF('Men''s Epée'!$T$3=TRUE,K56,0)</f>
        <v>0</v>
      </c>
      <c r="AC56" s="12">
        <f>IF('Men''s Epée'!$U$3=TRUE,M56,0)</f>
        <v>0</v>
      </c>
      <c r="AD56" s="26">
        <f t="shared" si="35"/>
        <v>0</v>
      </c>
      <c r="AE56" s="26">
        <f t="shared" si="36"/>
        <v>0</v>
      </c>
      <c r="AF56" s="26">
        <f t="shared" si="37"/>
        <v>0</v>
      </c>
      <c r="AG56" s="26">
        <f t="shared" si="38"/>
        <v>0</v>
      </c>
      <c r="AH56" s="12">
        <f t="shared" si="39"/>
        <v>215</v>
      </c>
    </row>
    <row r="57" spans="1:34" ht="13.5">
      <c r="A57" s="16" t="str">
        <f t="shared" si="0"/>
        <v>54</v>
      </c>
      <c r="B57" s="16">
        <f t="shared" si="27"/>
      </c>
      <c r="C57" s="38" t="s">
        <v>320</v>
      </c>
      <c r="D57" s="36">
        <v>1982</v>
      </c>
      <c r="E57" s="19">
        <f>ROUND(F57+IF('Men''s Epée'!$A$3=1,G57,0)+LARGE($S57:$Y57,1)+LARGE($S57:$Y57,2),0)</f>
        <v>210</v>
      </c>
      <c r="F57" s="20"/>
      <c r="G57" s="21"/>
      <c r="H57" s="21" t="s">
        <v>5</v>
      </c>
      <c r="I57" s="22">
        <f t="shared" si="24"/>
        <v>0</v>
      </c>
      <c r="J57" s="21">
        <v>46</v>
      </c>
      <c r="K57" s="22">
        <f t="shared" si="25"/>
        <v>210</v>
      </c>
      <c r="L57" s="21" t="s">
        <v>5</v>
      </c>
      <c r="M57" s="22">
        <f t="shared" si="26"/>
        <v>0</v>
      </c>
      <c r="N57" s="23"/>
      <c r="O57" s="23"/>
      <c r="P57" s="23"/>
      <c r="Q57" s="24"/>
      <c r="S57" s="25">
        <f>I57</f>
        <v>0</v>
      </c>
      <c r="T57" s="25">
        <f>K57</f>
        <v>210</v>
      </c>
      <c r="U57" s="25">
        <f>M57</f>
        <v>0</v>
      </c>
      <c r="V57" s="25">
        <f>IF(OR($A$3=1,N57&gt;0),ABS(N57),0)</f>
        <v>0</v>
      </c>
      <c r="W57" s="25">
        <f>IF(OR($A$3=1,O57&gt;0),ABS(O57),0)</f>
        <v>0</v>
      </c>
      <c r="X57" s="25">
        <f>IF(OR($A$3=1,P57&gt;0),ABS(P57),0)</f>
        <v>0</v>
      </c>
      <c r="Y57" s="25">
        <f>IF(OR($A$3=1,Q57&gt;0),ABS(Q57),0)</f>
        <v>0</v>
      </c>
      <c r="AA57" s="12">
        <f>IF('Men''s Epée'!$S$3=TRUE,I57,0)</f>
        <v>0</v>
      </c>
      <c r="AB57" s="12">
        <f>IF('Men''s Epée'!$T$3=TRUE,K57,0)</f>
        <v>210</v>
      </c>
      <c r="AC57" s="12">
        <f>IF('Men''s Epée'!$U$3=TRUE,M57,0)</f>
        <v>0</v>
      </c>
      <c r="AD57" s="26">
        <f>MAX(N57,0)</f>
        <v>0</v>
      </c>
      <c r="AE57" s="26">
        <f>MAX(O57,0)</f>
        <v>0</v>
      </c>
      <c r="AF57" s="26">
        <f>MAX(P57,0)</f>
        <v>0</v>
      </c>
      <c r="AG57" s="26">
        <f>MAX(Q57,0)</f>
        <v>0</v>
      </c>
      <c r="AH57" s="12">
        <f>LARGE(AA57:AG57,1)+LARGE(AA57:AG57,2)+F57</f>
        <v>210</v>
      </c>
    </row>
    <row r="58" spans="1:34" ht="13.5">
      <c r="A58" s="16" t="str">
        <f t="shared" si="0"/>
        <v>55</v>
      </c>
      <c r="B58" s="16">
        <f>TRIM(IF(D58&gt;=JuniorCutoff,"#",""))</f>
      </c>
      <c r="C58" s="17" t="s">
        <v>220</v>
      </c>
      <c r="D58" s="18">
        <v>1958</v>
      </c>
      <c r="E58" s="19">
        <f>ROUND(F58+IF('Men''s Epée'!$A$3=1,G58,0)+LARGE($S58:$Y58,1)+LARGE($S58:$Y58,2),0)</f>
        <v>205</v>
      </c>
      <c r="F58" s="20"/>
      <c r="G58" s="21"/>
      <c r="H58" s="21">
        <v>47</v>
      </c>
      <c r="I58" s="22">
        <f t="shared" si="24"/>
        <v>205</v>
      </c>
      <c r="J58" s="21" t="s">
        <v>5</v>
      </c>
      <c r="K58" s="22">
        <f t="shared" si="25"/>
        <v>0</v>
      </c>
      <c r="L58" s="21" t="s">
        <v>5</v>
      </c>
      <c r="M58" s="22">
        <f t="shared" si="26"/>
        <v>0</v>
      </c>
      <c r="N58" s="23"/>
      <c r="O58" s="23"/>
      <c r="P58" s="23"/>
      <c r="Q58" s="24"/>
      <c r="S58" s="25">
        <f>I58</f>
        <v>205</v>
      </c>
      <c r="T58" s="25">
        <f>K58</f>
        <v>0</v>
      </c>
      <c r="U58" s="25">
        <f>M58</f>
        <v>0</v>
      </c>
      <c r="V58" s="25">
        <f>IF(OR($A$3=1,N58&gt;0),ABS(N58),0)</f>
        <v>0</v>
      </c>
      <c r="W58" s="25">
        <f>IF(OR($A$3=1,O58&gt;0),ABS(O58),0)</f>
        <v>0</v>
      </c>
      <c r="X58" s="25">
        <f>IF(OR($A$3=1,P58&gt;0),ABS(P58),0)</f>
        <v>0</v>
      </c>
      <c r="Y58" s="25">
        <f>IF(OR($A$3=1,Q58&gt;0),ABS(Q58),0)</f>
        <v>0</v>
      </c>
      <c r="AA58" s="12">
        <f>IF('Men''s Epée'!$S$3=TRUE,I58,0)</f>
        <v>205</v>
      </c>
      <c r="AB58" s="12">
        <f>IF('Men''s Epée'!$T$3=TRUE,K58,0)</f>
        <v>0</v>
      </c>
      <c r="AC58" s="12">
        <f>IF('Men''s Epée'!$U$3=TRUE,M58,0)</f>
        <v>0</v>
      </c>
      <c r="AD58" s="26">
        <f>MAX(N58,0)</f>
        <v>0</v>
      </c>
      <c r="AE58" s="26">
        <f>MAX(O58,0)</f>
        <v>0</v>
      </c>
      <c r="AF58" s="26">
        <f>MAX(P58,0)</f>
        <v>0</v>
      </c>
      <c r="AG58" s="26">
        <f>MAX(Q58,0)</f>
        <v>0</v>
      </c>
      <c r="AH58" s="12">
        <f>LARGE(AA58:AG58,1)+LARGE(AA58:AG58,2)+F58</f>
        <v>205</v>
      </c>
    </row>
    <row r="59" spans="1:34" ht="13.5">
      <c r="A59" s="16" t="str">
        <f t="shared" si="0"/>
        <v>56</v>
      </c>
      <c r="B59" s="16">
        <f>TRIM(IF(D59&gt;=JuniorCutoff,"#",""))</f>
      </c>
      <c r="C59" s="17" t="s">
        <v>304</v>
      </c>
      <c r="D59" s="18">
        <v>1979</v>
      </c>
      <c r="E59" s="19">
        <f>ROUND(F59+IF('Men''s Epée'!$A$3=1,G59,0)+LARGE($S59:$Y59,1)+LARGE($S59:$Y59,2),0)</f>
        <v>200</v>
      </c>
      <c r="F59" s="20"/>
      <c r="G59" s="21"/>
      <c r="H59" s="21">
        <v>48</v>
      </c>
      <c r="I59" s="22">
        <f t="shared" si="24"/>
        <v>200</v>
      </c>
      <c r="J59" s="21" t="s">
        <v>5</v>
      </c>
      <c r="K59" s="22">
        <f t="shared" si="25"/>
        <v>0</v>
      </c>
      <c r="L59" s="21" t="s">
        <v>5</v>
      </c>
      <c r="M59" s="22">
        <f t="shared" si="26"/>
        <v>0</v>
      </c>
      <c r="N59" s="23"/>
      <c r="O59" s="23"/>
      <c r="P59" s="23"/>
      <c r="Q59" s="24"/>
      <c r="S59" s="25">
        <f>I59</f>
        <v>200</v>
      </c>
      <c r="T59" s="25">
        <f>K59</f>
        <v>0</v>
      </c>
      <c r="U59" s="25">
        <f>M59</f>
        <v>0</v>
      </c>
      <c r="V59" s="25">
        <f>IF(OR($A$3=1,N59&gt;0),ABS(N59),0)</f>
        <v>0</v>
      </c>
      <c r="W59" s="25">
        <f>IF(OR($A$3=1,O59&gt;0),ABS(O59),0)</f>
        <v>0</v>
      </c>
      <c r="X59" s="25">
        <f>IF(OR($A$3=1,P59&gt;0),ABS(P59),0)</f>
        <v>0</v>
      </c>
      <c r="Y59" s="25">
        <f>IF(OR($A$3=1,Q59&gt;0),ABS(Q59),0)</f>
        <v>0</v>
      </c>
      <c r="AA59" s="12">
        <f>IF('Men''s Epée'!$S$3=TRUE,I59,0)</f>
        <v>200</v>
      </c>
      <c r="AB59" s="12">
        <f>IF('Men''s Epée'!$T$3=TRUE,K59,0)</f>
        <v>0</v>
      </c>
      <c r="AC59" s="12">
        <f>IF('Men''s Epée'!$U$3=TRUE,M59,0)</f>
        <v>0</v>
      </c>
      <c r="AD59" s="26">
        <f>MAX(N59,0)</f>
        <v>0</v>
      </c>
      <c r="AE59" s="26">
        <f>MAX(O59,0)</f>
        <v>0</v>
      </c>
      <c r="AF59" s="26">
        <f>MAX(P59,0)</f>
        <v>0</v>
      </c>
      <c r="AG59" s="26">
        <f>MAX(Q59,0)</f>
        <v>0</v>
      </c>
      <c r="AH59" s="12">
        <f>LARGE(AA59:AG59,1)+LARGE(AA59:AG59,2)+F59</f>
        <v>200</v>
      </c>
    </row>
    <row r="60" spans="1:34" ht="13.5">
      <c r="A60" s="16">
        <f t="shared" si="0"/>
      </c>
      <c r="B60" s="16">
        <f t="shared" si="27"/>
      </c>
      <c r="C60" s="17" t="s">
        <v>411</v>
      </c>
      <c r="D60" s="36">
        <v>1970</v>
      </c>
      <c r="E60" s="19">
        <f>ROUND(F60+IF('Men''s Epée'!$A$3=1,G60,0)+LARGE($S60:$Y60,1)+LARGE($S60:$Y60,2),0)</f>
        <v>27</v>
      </c>
      <c r="F60" s="20"/>
      <c r="G60" s="21"/>
      <c r="H60" s="21" t="s">
        <v>5</v>
      </c>
      <c r="I60" s="22">
        <f t="shared" si="24"/>
        <v>0</v>
      </c>
      <c r="J60" s="21" t="s">
        <v>5</v>
      </c>
      <c r="K60" s="22">
        <f t="shared" si="25"/>
        <v>0</v>
      </c>
      <c r="L60" s="21" t="s">
        <v>5</v>
      </c>
      <c r="M60" s="22">
        <f t="shared" si="26"/>
        <v>0</v>
      </c>
      <c r="N60" s="23">
        <v>27.324</v>
      </c>
      <c r="O60" s="23"/>
      <c r="P60" s="23"/>
      <c r="Q60" s="24"/>
      <c r="S60" s="25">
        <f t="shared" si="28"/>
        <v>0</v>
      </c>
      <c r="T60" s="25">
        <f t="shared" si="29"/>
        <v>0</v>
      </c>
      <c r="U60" s="25">
        <f t="shared" si="30"/>
        <v>0</v>
      </c>
      <c r="V60" s="25">
        <f t="shared" si="31"/>
        <v>27.324</v>
      </c>
      <c r="W60" s="25">
        <f t="shared" si="32"/>
        <v>0</v>
      </c>
      <c r="X60" s="25">
        <f t="shared" si="33"/>
        <v>0</v>
      </c>
      <c r="Y60" s="25">
        <f t="shared" si="34"/>
        <v>0</v>
      </c>
      <c r="AA60" s="12">
        <f>IF('Men''s Epée'!$S$3=TRUE,I60,0)</f>
        <v>0</v>
      </c>
      <c r="AB60" s="12">
        <f>IF('Men''s Epée'!$T$3=TRUE,K60,0)</f>
        <v>0</v>
      </c>
      <c r="AC60" s="12">
        <f>IF('Men''s Epée'!$U$3=TRUE,M60,0)</f>
        <v>0</v>
      </c>
      <c r="AD60" s="26">
        <f t="shared" si="35"/>
        <v>27.324</v>
      </c>
      <c r="AE60" s="26">
        <f t="shared" si="36"/>
        <v>0</v>
      </c>
      <c r="AF60" s="26">
        <f t="shared" si="37"/>
        <v>0</v>
      </c>
      <c r="AG60" s="26">
        <f t="shared" si="38"/>
        <v>0</v>
      </c>
      <c r="AH60" s="12">
        <f t="shared" si="39"/>
        <v>27.324</v>
      </c>
    </row>
    <row r="61" ht="13.5" customHeight="1"/>
    <row r="62" spans="3:14" ht="13.5" customHeight="1">
      <c r="C62" s="30" t="s">
        <v>18</v>
      </c>
      <c r="F62" s="18"/>
      <c r="G62" s="18"/>
      <c r="H62" s="25"/>
      <c r="I62" s="25"/>
      <c r="L62" s="31" t="s">
        <v>19</v>
      </c>
      <c r="M62" s="31" t="s">
        <v>20</v>
      </c>
      <c r="N62" s="28"/>
    </row>
    <row r="63" spans="2:14" ht="13.5" customHeight="1">
      <c r="B63" s="43"/>
      <c r="C63" s="17" t="s">
        <v>16</v>
      </c>
      <c r="D63" s="32" t="s">
        <v>428</v>
      </c>
      <c r="L63" s="32">
        <v>26</v>
      </c>
      <c r="M63" s="33">
        <v>318.666</v>
      </c>
      <c r="N63" s="34"/>
    </row>
    <row r="64" spans="2:14" ht="13.5" customHeight="1">
      <c r="B64" s="43"/>
      <c r="C64" s="37" t="s">
        <v>405</v>
      </c>
      <c r="D64" s="32" t="s">
        <v>404</v>
      </c>
      <c r="L64" s="32">
        <v>29</v>
      </c>
      <c r="M64" s="33">
        <v>273.212</v>
      </c>
      <c r="N64" s="34"/>
    </row>
    <row r="65" spans="2:14" ht="13.5" customHeight="1">
      <c r="B65" s="43"/>
      <c r="C65" s="37" t="s">
        <v>411</v>
      </c>
      <c r="D65" s="32" t="s">
        <v>412</v>
      </c>
      <c r="L65" s="32">
        <v>21</v>
      </c>
      <c r="M65" s="33">
        <v>27.324</v>
      </c>
      <c r="N65" s="34"/>
    </row>
    <row r="66" spans="2:14" ht="13.5" customHeight="1">
      <c r="B66" s="43"/>
      <c r="C66" s="17" t="s">
        <v>14</v>
      </c>
      <c r="D66" s="32" t="s">
        <v>428</v>
      </c>
      <c r="L66" s="32">
        <v>23</v>
      </c>
      <c r="M66" s="33">
        <v>353.664</v>
      </c>
      <c r="N66" s="34"/>
    </row>
    <row r="67" spans="2:14" ht="13.5" customHeight="1">
      <c r="B67" s="43"/>
      <c r="C67" s="17" t="s">
        <v>12</v>
      </c>
      <c r="D67" s="32" t="s">
        <v>428</v>
      </c>
      <c r="L67" s="32">
        <v>16</v>
      </c>
      <c r="M67" s="33">
        <v>552.6</v>
      </c>
      <c r="N67" s="34"/>
    </row>
    <row r="68" spans="2:14" ht="13.5" customHeight="1">
      <c r="B68" s="43"/>
      <c r="C68" s="37" t="s">
        <v>10</v>
      </c>
      <c r="D68" s="32" t="s">
        <v>357</v>
      </c>
      <c r="K68" s="25"/>
      <c r="L68" s="32">
        <v>18</v>
      </c>
      <c r="M68" s="33">
        <v>581.256</v>
      </c>
      <c r="N68" s="34"/>
    </row>
    <row r="69" spans="2:14" ht="13.5" customHeight="1">
      <c r="B69" s="43"/>
      <c r="C69" s="37" t="s">
        <v>10</v>
      </c>
      <c r="D69" s="32" t="s">
        <v>374</v>
      </c>
      <c r="F69" s="18"/>
      <c r="G69" s="18"/>
      <c r="H69" s="25"/>
      <c r="I69" s="25"/>
      <c r="L69" s="32">
        <v>3</v>
      </c>
      <c r="M69" s="33">
        <v>507.96</v>
      </c>
      <c r="N69" s="34"/>
    </row>
    <row r="70" spans="2:14" ht="13.5" customHeight="1">
      <c r="B70" s="43"/>
      <c r="C70" s="37" t="s">
        <v>10</v>
      </c>
      <c r="D70" s="32" t="s">
        <v>379</v>
      </c>
      <c r="F70" s="18"/>
      <c r="G70" s="18"/>
      <c r="H70" s="25"/>
      <c r="I70" s="25"/>
      <c r="L70" s="32">
        <v>19</v>
      </c>
      <c r="M70" s="33">
        <v>600.168</v>
      </c>
      <c r="N70" s="34"/>
    </row>
    <row r="71" spans="2:14" ht="13.5" customHeight="1">
      <c r="B71" s="43"/>
      <c r="C71" s="37" t="s">
        <v>10</v>
      </c>
      <c r="D71" s="32" t="s">
        <v>407</v>
      </c>
      <c r="F71" s="18"/>
      <c r="G71" s="18"/>
      <c r="H71" s="25"/>
      <c r="I71" s="25"/>
      <c r="L71" s="32">
        <v>9</v>
      </c>
      <c r="M71" s="33">
        <v>290.184</v>
      </c>
      <c r="N71" s="34"/>
    </row>
    <row r="72" spans="2:14" ht="13.5" customHeight="1">
      <c r="B72" s="43"/>
      <c r="C72" s="17" t="s">
        <v>400</v>
      </c>
      <c r="D72" s="32" t="s">
        <v>428</v>
      </c>
      <c r="L72" s="32">
        <v>25</v>
      </c>
      <c r="M72" s="33">
        <v>322.35</v>
      </c>
      <c r="N72" s="34"/>
    </row>
    <row r="73" spans="2:14" ht="13.5" customHeight="1">
      <c r="B73" s="43"/>
      <c r="C73" s="17" t="s">
        <v>429</v>
      </c>
      <c r="D73" s="32" t="s">
        <v>428</v>
      </c>
      <c r="L73" s="32">
        <v>30</v>
      </c>
      <c r="M73" s="33">
        <v>303.93</v>
      </c>
      <c r="N73" s="34"/>
    </row>
    <row r="74" spans="2:14" ht="13.5" customHeight="1">
      <c r="B74" s="43"/>
      <c r="C74" s="17" t="s">
        <v>430</v>
      </c>
      <c r="D74" s="32" t="s">
        <v>428</v>
      </c>
      <c r="L74" s="32">
        <v>32</v>
      </c>
      <c r="M74" s="33">
        <v>296.562</v>
      </c>
      <c r="N74" s="34"/>
    </row>
    <row r="75" spans="2:14" ht="13.5" customHeight="1">
      <c r="B75" s="43"/>
      <c r="C75" s="37" t="s">
        <v>219</v>
      </c>
      <c r="D75" s="32" t="s">
        <v>374</v>
      </c>
      <c r="F75" s="18"/>
      <c r="G75" s="18"/>
      <c r="H75" s="25"/>
      <c r="I75" s="25"/>
      <c r="L75" s="32">
        <v>12</v>
      </c>
      <c r="M75" s="33">
        <v>310.752</v>
      </c>
      <c r="N75" s="34"/>
    </row>
    <row r="76" spans="2:14" ht="13.5" customHeight="1">
      <c r="B76" s="43"/>
      <c r="C76" s="37" t="s">
        <v>219</v>
      </c>
      <c r="D76" s="32" t="s">
        <v>407</v>
      </c>
      <c r="F76" s="18"/>
      <c r="G76" s="18"/>
      <c r="H76" s="25"/>
      <c r="I76" s="25"/>
      <c r="L76" s="32">
        <v>11</v>
      </c>
      <c r="M76" s="33">
        <v>284.76</v>
      </c>
      <c r="N76" s="34"/>
    </row>
    <row r="77" spans="2:14" ht="13.5" customHeight="1">
      <c r="B77" s="43"/>
      <c r="C77" s="37" t="s">
        <v>219</v>
      </c>
      <c r="D77" s="32" t="s">
        <v>404</v>
      </c>
      <c r="L77" s="32">
        <v>18</v>
      </c>
      <c r="M77" s="33">
        <v>338.652</v>
      </c>
      <c r="N77" s="34"/>
    </row>
    <row r="78" spans="2:14" ht="13.5" customHeight="1">
      <c r="B78" s="43"/>
      <c r="C78" s="37" t="s">
        <v>7</v>
      </c>
      <c r="D78" s="32" t="s">
        <v>368</v>
      </c>
      <c r="L78" s="32">
        <v>50</v>
      </c>
      <c r="M78" s="18">
        <v>184</v>
      </c>
      <c r="N78" s="34"/>
    </row>
    <row r="79" spans="2:14" ht="13.5" customHeight="1">
      <c r="B79" s="43"/>
      <c r="C79" s="37" t="s">
        <v>7</v>
      </c>
      <c r="D79" s="32" t="s">
        <v>418</v>
      </c>
      <c r="L79" s="32">
        <v>30</v>
      </c>
      <c r="M79" s="33">
        <v>382.14</v>
      </c>
      <c r="N79" s="34"/>
    </row>
    <row r="80" spans="2:14" ht="13.5" customHeight="1">
      <c r="B80" s="43"/>
      <c r="C80" s="17" t="s">
        <v>7</v>
      </c>
      <c r="D80" s="32" t="s">
        <v>428</v>
      </c>
      <c r="L80" s="32">
        <v>22</v>
      </c>
      <c r="M80" s="33">
        <v>359.19</v>
      </c>
      <c r="N80" s="34"/>
    </row>
    <row r="81" spans="2:14" ht="13.5" customHeight="1">
      <c r="B81" s="43"/>
      <c r="C81" s="17" t="s">
        <v>11</v>
      </c>
      <c r="D81" s="32" t="s">
        <v>428</v>
      </c>
      <c r="L81" s="32">
        <v>28</v>
      </c>
      <c r="M81" s="33">
        <v>311.298</v>
      </c>
      <c r="N81" s="34"/>
    </row>
    <row r="82" spans="2:14" ht="13.5" customHeight="1">
      <c r="B82" s="43"/>
      <c r="C82" s="37" t="s">
        <v>409</v>
      </c>
      <c r="D82" s="32" t="s">
        <v>410</v>
      </c>
      <c r="L82" s="32">
        <v>12</v>
      </c>
      <c r="M82" s="33">
        <v>48.048</v>
      </c>
      <c r="N82" s="34"/>
    </row>
    <row r="83" ht="12.75">
      <c r="N83" s="28"/>
    </row>
    <row r="84" spans="3:14" ht="12.75">
      <c r="C84" s="30" t="s">
        <v>21</v>
      </c>
      <c r="F84" s="18"/>
      <c r="G84" s="18"/>
      <c r="H84" s="25"/>
      <c r="I84" s="25"/>
      <c r="K84" s="25"/>
      <c r="L84" s="31" t="s">
        <v>19</v>
      </c>
      <c r="M84" s="31" t="s">
        <v>20</v>
      </c>
      <c r="N84" s="28"/>
    </row>
    <row r="85" spans="3:14" ht="12.75">
      <c r="C85" s="37" t="s">
        <v>15</v>
      </c>
      <c r="D85" s="32" t="s">
        <v>373</v>
      </c>
      <c r="F85" s="18"/>
      <c r="G85" s="18"/>
      <c r="H85" s="25"/>
      <c r="I85" s="25"/>
      <c r="L85" s="32">
        <v>46</v>
      </c>
      <c r="M85" s="18">
        <v>216</v>
      </c>
      <c r="N85" s="34"/>
    </row>
    <row r="86" spans="3:14" ht="12.75">
      <c r="C86" s="37" t="s">
        <v>14</v>
      </c>
      <c r="D86" s="32" t="s">
        <v>373</v>
      </c>
      <c r="F86" s="18"/>
      <c r="G86" s="18"/>
      <c r="H86" s="25"/>
      <c r="I86" s="25"/>
      <c r="L86" s="32">
        <v>62</v>
      </c>
      <c r="M86" s="18">
        <v>88</v>
      </c>
      <c r="N86" s="34"/>
    </row>
    <row r="87" spans="3:14" ht="12.75">
      <c r="C87" s="37" t="s">
        <v>10</v>
      </c>
      <c r="D87" s="32" t="s">
        <v>358</v>
      </c>
      <c r="F87" s="18"/>
      <c r="G87" s="18"/>
      <c r="H87" s="25"/>
      <c r="I87" s="25"/>
      <c r="L87" s="32">
        <v>18</v>
      </c>
      <c r="M87" s="33">
        <v>396.198</v>
      </c>
      <c r="N87" s="34"/>
    </row>
    <row r="88" spans="3:14" ht="12.75">
      <c r="C88" s="37" t="s">
        <v>10</v>
      </c>
      <c r="D88" s="32" t="s">
        <v>362</v>
      </c>
      <c r="F88" s="18"/>
      <c r="G88" s="18"/>
      <c r="H88" s="25"/>
      <c r="I88" s="25"/>
      <c r="L88" s="32">
        <v>33</v>
      </c>
      <c r="M88" s="18">
        <v>320</v>
      </c>
      <c r="N88" s="34"/>
    </row>
    <row r="89" spans="3:14" ht="12.75">
      <c r="C89" s="37" t="s">
        <v>10</v>
      </c>
      <c r="D89" s="32" t="s">
        <v>375</v>
      </c>
      <c r="F89" s="18"/>
      <c r="G89" s="18"/>
      <c r="H89" s="25"/>
      <c r="I89" s="25"/>
      <c r="L89" s="32">
        <v>35</v>
      </c>
      <c r="M89" s="18">
        <v>304</v>
      </c>
      <c r="N89" s="34"/>
    </row>
    <row r="90" spans="3:14" ht="12.75">
      <c r="C90" s="37" t="s">
        <v>10</v>
      </c>
      <c r="D90" s="32" t="s">
        <v>423</v>
      </c>
      <c r="L90" s="32">
        <v>7</v>
      </c>
      <c r="M90" s="33">
        <v>1003.536</v>
      </c>
      <c r="N90" s="34"/>
    </row>
    <row r="91" spans="3:14" ht="12.75">
      <c r="C91" s="17" t="s">
        <v>142</v>
      </c>
      <c r="D91" s="32" t="s">
        <v>375</v>
      </c>
      <c r="F91" s="18"/>
      <c r="G91" s="18"/>
      <c r="H91" s="25"/>
      <c r="I91" s="25"/>
      <c r="L91" s="32">
        <v>62</v>
      </c>
      <c r="M91" s="18">
        <v>88</v>
      </c>
      <c r="N91" s="34"/>
    </row>
    <row r="92" spans="3:14" ht="12.75">
      <c r="C92" s="17" t="s">
        <v>142</v>
      </c>
      <c r="D92" s="32" t="s">
        <v>423</v>
      </c>
      <c r="L92" s="32">
        <v>11</v>
      </c>
      <c r="M92" s="33">
        <v>763.56</v>
      </c>
      <c r="N92" s="34"/>
    </row>
    <row r="93" spans="3:14" ht="12.75">
      <c r="C93" s="37" t="s">
        <v>400</v>
      </c>
      <c r="D93" s="32" t="s">
        <v>401</v>
      </c>
      <c r="F93" s="18"/>
      <c r="G93" s="18"/>
      <c r="H93" s="25"/>
      <c r="I93" s="25"/>
      <c r="L93" s="32">
        <v>17</v>
      </c>
      <c r="M93" s="33">
        <v>736.68</v>
      </c>
      <c r="N93" s="34"/>
    </row>
    <row r="94" spans="3:14" ht="12.75">
      <c r="C94" s="37" t="s">
        <v>218</v>
      </c>
      <c r="D94" s="32" t="s">
        <v>358</v>
      </c>
      <c r="F94" s="18"/>
      <c r="G94" s="18"/>
      <c r="H94" s="25"/>
      <c r="I94" s="25"/>
      <c r="L94" s="32">
        <v>26</v>
      </c>
      <c r="M94" s="33">
        <v>331.122</v>
      </c>
      <c r="N94" s="34"/>
    </row>
    <row r="95" spans="3:14" ht="12.75">
      <c r="C95" s="37" t="s">
        <v>105</v>
      </c>
      <c r="D95" s="32" t="s">
        <v>358</v>
      </c>
      <c r="F95" s="18"/>
      <c r="G95" s="18"/>
      <c r="H95" s="25"/>
      <c r="I95" s="25"/>
      <c r="L95" s="32">
        <v>29</v>
      </c>
      <c r="M95" s="33">
        <v>319.638</v>
      </c>
      <c r="N95" s="34"/>
    </row>
    <row r="96" spans="3:14" ht="12.75">
      <c r="C96" s="37" t="s">
        <v>105</v>
      </c>
      <c r="D96" s="32" t="s">
        <v>373</v>
      </c>
      <c r="F96" s="18"/>
      <c r="G96" s="18"/>
      <c r="H96" s="25"/>
      <c r="I96" s="25"/>
      <c r="L96" s="32">
        <v>56</v>
      </c>
      <c r="M96" s="18">
        <v>136</v>
      </c>
      <c r="N96" s="34"/>
    </row>
    <row r="97" spans="3:14" ht="12.75">
      <c r="C97" s="37" t="s">
        <v>219</v>
      </c>
      <c r="D97" s="32" t="s">
        <v>358</v>
      </c>
      <c r="F97" s="18"/>
      <c r="G97" s="18"/>
      <c r="H97" s="25"/>
      <c r="I97" s="25"/>
      <c r="L97" s="32">
        <v>21</v>
      </c>
      <c r="M97" s="33">
        <v>378.972</v>
      </c>
      <c r="N97" s="34"/>
    </row>
    <row r="98" spans="3:14" ht="12.75">
      <c r="C98" s="37" t="s">
        <v>219</v>
      </c>
      <c r="D98" s="32" t="s">
        <v>423</v>
      </c>
      <c r="L98" s="32">
        <v>8</v>
      </c>
      <c r="M98" s="33">
        <v>996.264</v>
      </c>
      <c r="N98" s="34"/>
    </row>
    <row r="99" spans="3:14" ht="12.75">
      <c r="C99" s="37" t="s">
        <v>7</v>
      </c>
      <c r="D99" s="32" t="s">
        <v>358</v>
      </c>
      <c r="F99" s="18"/>
      <c r="G99" s="18"/>
      <c r="H99" s="25"/>
      <c r="I99" s="25"/>
      <c r="L99" s="32">
        <v>7</v>
      </c>
      <c r="M99" s="33">
        <v>792.396</v>
      </c>
      <c r="N99" s="34"/>
    </row>
    <row r="100" spans="3:14" ht="12.75">
      <c r="C100" s="37" t="s">
        <v>7</v>
      </c>
      <c r="D100" s="32" t="s">
        <v>362</v>
      </c>
      <c r="F100" s="18"/>
      <c r="G100" s="18"/>
      <c r="H100" s="25"/>
      <c r="I100" s="25"/>
      <c r="L100" s="32">
        <v>21</v>
      </c>
      <c r="M100" s="18">
        <v>792</v>
      </c>
      <c r="N100" s="34"/>
    </row>
    <row r="101" spans="3:14" ht="12.75">
      <c r="C101" s="37" t="s">
        <v>7</v>
      </c>
      <c r="D101" s="32" t="s">
        <v>373</v>
      </c>
      <c r="F101" s="18"/>
      <c r="G101" s="18"/>
      <c r="H101" s="25"/>
      <c r="I101" s="25"/>
      <c r="L101" s="32">
        <v>42</v>
      </c>
      <c r="M101" s="18">
        <v>248</v>
      </c>
      <c r="N101" s="34"/>
    </row>
    <row r="102" spans="3:14" ht="12.75">
      <c r="C102" s="37" t="s">
        <v>7</v>
      </c>
      <c r="D102" s="32" t="s">
        <v>375</v>
      </c>
      <c r="F102" s="18"/>
      <c r="G102" s="18"/>
      <c r="H102" s="25"/>
      <c r="I102" s="25"/>
      <c r="L102" s="32">
        <v>46</v>
      </c>
      <c r="M102" s="18">
        <v>216</v>
      </c>
      <c r="N102" s="34"/>
    </row>
    <row r="103" spans="3:14" ht="12.75">
      <c r="C103" s="37" t="s">
        <v>11</v>
      </c>
      <c r="D103" s="32" t="s">
        <v>413</v>
      </c>
      <c r="L103" s="32">
        <v>7</v>
      </c>
      <c r="M103" s="33">
        <v>1157.5439999999999</v>
      </c>
      <c r="N103" s="34"/>
    </row>
    <row r="104" spans="3:14" ht="12.75">
      <c r="C104" s="37" t="s">
        <v>11</v>
      </c>
      <c r="D104" s="32" t="s">
        <v>423</v>
      </c>
      <c r="L104" s="32">
        <v>29</v>
      </c>
      <c r="M104" s="33">
        <v>404.808</v>
      </c>
      <c r="N104" s="34"/>
    </row>
  </sheetData>
  <printOptions horizontalCentered="1"/>
  <pageMargins left="0.25" right="0.25" top="0.95" bottom="0.95" header="0.25" footer="0.25"/>
  <pageSetup horizontalDpi="300" verticalDpi="300" orientation="landscape" r:id="rId2"/>
  <headerFooter alignWithMargins="0">
    <oddHeader>&amp;C&amp;"Times New Roman,Bold"&amp;16 2001-2002 USFA Point Standings
Senior &amp;A - Rolling Standings</oddHeader>
    <oddFooter>&amp;L&amp;"Arial,Bold"* Permanent Resident
# Junior&amp;"Arial,Regular"
Total = Best 3 plus Group II&amp;CPage &amp;P&amp;R&amp;"Arial,Bold"np = Did not earn points (including not competing)&amp;"Arial,Regular"
Printed &amp;D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I86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8" customWidth="1"/>
    <col min="2" max="2" width="3.28125" style="18" customWidth="1"/>
    <col min="3" max="3" width="27.421875" style="37" customWidth="1"/>
    <col min="4" max="4" width="5.421875" style="18" customWidth="1"/>
    <col min="5" max="5" width="8.00390625" style="18" customWidth="1"/>
    <col min="6" max="7" width="5.7109375" style="19" customWidth="1"/>
    <col min="8" max="8" width="5.421875" style="19" customWidth="1"/>
    <col min="9" max="13" width="5.421875" style="28" customWidth="1"/>
    <col min="14" max="14" width="5.28125" style="29" customWidth="1"/>
    <col min="15" max="17" width="4.7109375" style="29" customWidth="1"/>
    <col min="18" max="18" width="9.140625" style="25" customWidth="1"/>
    <col min="19" max="34" width="9.140625" style="25" hidden="1" customWidth="1"/>
    <col min="35" max="16384" width="9.140625" style="25" customWidth="1"/>
  </cols>
  <sheetData>
    <row r="1" spans="1:17" s="8" customFormat="1" ht="12.75" customHeight="1">
      <c r="A1" s="35"/>
      <c r="B1" s="1"/>
      <c r="C1" s="2" t="s">
        <v>0</v>
      </c>
      <c r="D1" s="3" t="s">
        <v>1</v>
      </c>
      <c r="E1" s="3" t="s">
        <v>2</v>
      </c>
      <c r="F1" s="4" t="s">
        <v>3</v>
      </c>
      <c r="G1" s="5"/>
      <c r="H1" s="4" t="s">
        <v>245</v>
      </c>
      <c r="I1" s="6"/>
      <c r="J1" s="4" t="s">
        <v>310</v>
      </c>
      <c r="K1" s="6"/>
      <c r="L1" s="4" t="s">
        <v>382</v>
      </c>
      <c r="M1" s="6"/>
      <c r="N1" s="7" t="s">
        <v>4</v>
      </c>
      <c r="O1" s="7"/>
      <c r="P1" s="7"/>
      <c r="Q1" s="6"/>
    </row>
    <row r="2" spans="1:27" s="8" customFormat="1" ht="18.75" customHeight="1">
      <c r="A2" s="1"/>
      <c r="B2" s="1"/>
      <c r="C2" s="2"/>
      <c r="D2" s="2"/>
      <c r="E2" s="3"/>
      <c r="F2" s="4" t="s">
        <v>376</v>
      </c>
      <c r="G2" s="9" t="s">
        <v>377</v>
      </c>
      <c r="H2" s="4" t="s">
        <v>236</v>
      </c>
      <c r="I2" s="6" t="s">
        <v>246</v>
      </c>
      <c r="J2" s="4" t="s">
        <v>236</v>
      </c>
      <c r="K2" s="6" t="s">
        <v>311</v>
      </c>
      <c r="L2" s="4" t="s">
        <v>381</v>
      </c>
      <c r="M2" s="6" t="s">
        <v>383</v>
      </c>
      <c r="N2" s="4" t="s">
        <v>4</v>
      </c>
      <c r="O2" s="7"/>
      <c r="P2" s="10"/>
      <c r="Q2" s="11"/>
      <c r="AA2" s="12"/>
    </row>
    <row r="3" spans="1:17" s="8" customFormat="1" ht="11.25" customHeight="1" hidden="1">
      <c r="A3" s="1"/>
      <c r="B3" s="1"/>
      <c r="C3" s="2"/>
      <c r="D3" s="2"/>
      <c r="E3" s="2"/>
      <c r="F3" s="13"/>
      <c r="G3" s="14"/>
      <c r="H3" s="14">
        <f>COLUMN()</f>
        <v>8</v>
      </c>
      <c r="I3" s="15">
        <f>HLOOKUP(H2,PointTableHeader,2,FALSE)</f>
        <v>9</v>
      </c>
      <c r="J3" s="14">
        <f>COLUMN()</f>
        <v>10</v>
      </c>
      <c r="K3" s="15">
        <f>HLOOKUP(J2,PointTableHeader,2,FALSE)</f>
        <v>9</v>
      </c>
      <c r="L3" s="14">
        <f>COLUMN()</f>
        <v>12</v>
      </c>
      <c r="M3" s="15">
        <f>HLOOKUP(L2,PointTableHeader,2,FALSE)</f>
        <v>8</v>
      </c>
      <c r="N3" s="14">
        <f>COLUMN()</f>
        <v>14</v>
      </c>
      <c r="O3" s="3"/>
      <c r="P3" s="3"/>
      <c r="Q3" s="15"/>
    </row>
    <row r="4" spans="1:35" ht="13.5">
      <c r="A4" s="16" t="str">
        <f aca="true" t="shared" si="0" ref="A4:A62">IF(E4&lt;MinimumSr,"",IF(E4=E3,A3,ROW()-3&amp;IF(E4=E5,"T","")))</f>
        <v>1</v>
      </c>
      <c r="B4" s="16">
        <f aca="true" t="shared" si="1" ref="B4:B35">TRIM(IF(D4&gt;=JuniorCutoff,"#",""))</f>
      </c>
      <c r="C4" s="17" t="s">
        <v>25</v>
      </c>
      <c r="D4" s="18">
        <v>1979</v>
      </c>
      <c r="E4" s="19">
        <f>ROUND(F4+IF('Men''s Epée'!$A$3=1,G4,0)+LARGE($S4:$Y4,1)+LARGE($S4:$Y4,2),0)</f>
        <v>4351</v>
      </c>
      <c r="F4" s="20">
        <f>668+2263.2</f>
        <v>2931.2</v>
      </c>
      <c r="G4" s="21"/>
      <c r="H4" s="21">
        <v>17</v>
      </c>
      <c r="I4" s="22">
        <f>IF(OR('Men''s Epée'!$A$3=1,'Men''s Epée'!$S$3=TRUE),IF(OR(H4&gt;=49,ISNUMBER(H4)=FALSE),0,VLOOKUP(H4,PointTable,I$3,TRUE)),0)</f>
        <v>415</v>
      </c>
      <c r="J4" s="21">
        <v>6.5</v>
      </c>
      <c r="K4" s="22">
        <f>IF(OR('Men''s Epée'!$A$3=1,'Men''s Epée'!$T$3=TRUE),IF(OR(J4&gt;=49,ISNUMBER(J4)=FALSE),0,VLOOKUP(J4,PointTable,K$3,TRUE)),0)</f>
        <v>725</v>
      </c>
      <c r="L4" s="21">
        <v>6</v>
      </c>
      <c r="M4" s="22">
        <f>IF(OR('Men''s Epée'!$A$3=1,'Men''s Epée'!$U$3=TRUE),IF(OR(L4&gt;=49,ISNUMBER(L4)=FALSE),0,VLOOKUP(L4,PointTable,M$3,TRUE)),0)</f>
        <v>695</v>
      </c>
      <c r="N4" s="23">
        <v>464.64</v>
      </c>
      <c r="O4" s="23"/>
      <c r="P4" s="23"/>
      <c r="Q4" s="24"/>
      <c r="S4" s="25">
        <f>I4</f>
        <v>415</v>
      </c>
      <c r="T4" s="25">
        <f aca="true" t="shared" si="2" ref="T4:T22">K4</f>
        <v>725</v>
      </c>
      <c r="U4" s="25">
        <f aca="true" t="shared" si="3" ref="U4:U22">M4</f>
        <v>695</v>
      </c>
      <c r="V4" s="25">
        <f>IF(OR('Men''s Epée'!$A$3=1,N4&gt;0),ABS(N4),0)</f>
        <v>464.64</v>
      </c>
      <c r="W4" s="25">
        <f>IF(OR('Men''s Epée'!$A$3=1,O4&gt;0),ABS(O4),0)</f>
        <v>0</v>
      </c>
      <c r="X4" s="25">
        <f>IF(OR('Men''s Epée'!$A$3=1,P4&gt;0),ABS(P4),0)</f>
        <v>0</v>
      </c>
      <c r="Y4" s="25">
        <f>IF(OR('Men''s Epée'!$A$3=1,Q4&gt;0),ABS(Q4),0)</f>
        <v>0</v>
      </c>
      <c r="AA4" s="12">
        <f>IF('Men''s Epée'!$S$3=TRUE,I4,0)</f>
        <v>415</v>
      </c>
      <c r="AB4" s="12">
        <f>IF('Men''s Epée'!$T$3=TRUE,K4,0)</f>
        <v>725</v>
      </c>
      <c r="AC4" s="12">
        <f>IF('Men''s Epée'!$U$3=TRUE,M4,0)</f>
        <v>695</v>
      </c>
      <c r="AD4" s="26">
        <f>MAX(N4,0)</f>
        <v>464.64</v>
      </c>
      <c r="AE4" s="26">
        <f>MAX(O4,0)</f>
        <v>0</v>
      </c>
      <c r="AF4" s="26">
        <f>MAX(P4,0)</f>
        <v>0</v>
      </c>
      <c r="AG4" s="26">
        <f>MAX(Q4,0)</f>
        <v>0</v>
      </c>
      <c r="AH4" s="12">
        <f>ROUND(LARGE(AA4:AG4,1)+LARGE(AA4:AG4,2)+F4,0)</f>
        <v>4351</v>
      </c>
      <c r="AI4" s="41"/>
    </row>
    <row r="5" spans="1:35" ht="13.5">
      <c r="A5" s="16" t="str">
        <f>IF(E5&lt;MinimumSr,"",IF(E5=E4,A4,ROW()-3&amp;IF(E5=E6,"T","")))</f>
        <v>2</v>
      </c>
      <c r="B5" s="16">
        <f t="shared" si="1"/>
      </c>
      <c r="C5" s="17" t="s">
        <v>196</v>
      </c>
      <c r="D5" s="18">
        <v>1976</v>
      </c>
      <c r="E5" s="19">
        <f>ROUND(F5+IF('Men''s Epée'!$A$3=1,G5,0)+LARGE($S5:$Y5,1)+LARGE($S5:$Y5,2),0)</f>
        <v>4180</v>
      </c>
      <c r="F5" s="20">
        <f>240+1504</f>
        <v>1744</v>
      </c>
      <c r="G5" s="21"/>
      <c r="H5" s="21">
        <v>2</v>
      </c>
      <c r="I5" s="22">
        <f>IF(OR('Men''s Epée'!$A$3=1,'Men''s Epée'!$S$3=TRUE),IF(OR(H5&gt;=49,ISNUMBER(H5)=FALSE),0,VLOOKUP(H5,PointTable,I$3,TRUE)),0)</f>
        <v>925</v>
      </c>
      <c r="J5" s="21">
        <v>1</v>
      </c>
      <c r="K5" s="22">
        <f>IF(OR('Men''s Epée'!$A$3=1,'Men''s Epée'!$T$3=TRUE),IF(OR(J5&gt;=49,ISNUMBER(J5)=FALSE),0,VLOOKUP(J5,PointTable,K$3,TRUE)),0)</f>
        <v>1000</v>
      </c>
      <c r="L5" s="21" t="s">
        <v>5</v>
      </c>
      <c r="M5" s="22">
        <f>IF(OR('Men''s Epée'!$A$3=1,'Men''s Epée'!$U$3=TRUE),IF(OR(L5&gt;=49,ISNUMBER(L5)=FALSE),0,VLOOKUP(L5,PointTable,M$3,TRUE)),0)</f>
        <v>0</v>
      </c>
      <c r="N5" s="23">
        <v>1436.16</v>
      </c>
      <c r="O5" s="23"/>
      <c r="P5" s="23"/>
      <c r="Q5" s="24"/>
      <c r="S5" s="25">
        <f aca="true" t="shared" si="4" ref="S5:S22">I5</f>
        <v>925</v>
      </c>
      <c r="T5" s="25">
        <f t="shared" si="2"/>
        <v>1000</v>
      </c>
      <c r="U5" s="25">
        <f t="shared" si="3"/>
        <v>0</v>
      </c>
      <c r="V5" s="25">
        <f>IF(OR('Men''s Epée'!$A$3=1,N5&gt;0),ABS(N5),0)</f>
        <v>1436.16</v>
      </c>
      <c r="W5" s="25">
        <f>IF(OR('Men''s Epée'!$A$3=1,O5&gt;0),ABS(O5),0)</f>
        <v>0</v>
      </c>
      <c r="X5" s="25">
        <f>IF(OR('Men''s Epée'!$A$3=1,P5&gt;0),ABS(P5),0)</f>
        <v>0</v>
      </c>
      <c r="Y5" s="25">
        <f>IF(OR('Men''s Epée'!$A$3=1,Q5&gt;0),ABS(Q5),0)</f>
        <v>0</v>
      </c>
      <c r="AA5" s="12">
        <f>IF('Men''s Epée'!$S$3=TRUE,I5,0)</f>
        <v>925</v>
      </c>
      <c r="AB5" s="12">
        <f>IF('Men''s Epée'!$T$3=TRUE,K5,0)</f>
        <v>1000</v>
      </c>
      <c r="AC5" s="12">
        <f>IF('Men''s Epée'!$U$3=TRUE,M5,0)</f>
        <v>0</v>
      </c>
      <c r="AD5" s="26">
        <f aca="true" t="shared" si="5" ref="AD5:AG22">MAX(N5,0)</f>
        <v>1436.16</v>
      </c>
      <c r="AE5" s="26">
        <f t="shared" si="5"/>
        <v>0</v>
      </c>
      <c r="AF5" s="26">
        <f t="shared" si="5"/>
        <v>0</v>
      </c>
      <c r="AG5" s="26">
        <f t="shared" si="5"/>
        <v>0</v>
      </c>
      <c r="AH5" s="12">
        <f aca="true" t="shared" si="6" ref="AH5:AH47">ROUND(LARGE(AA5:AG5,1)+LARGE(AA5:AG5,2)+F5,0)</f>
        <v>4180</v>
      </c>
      <c r="AI5" s="41"/>
    </row>
    <row r="6" spans="1:35" ht="13.5">
      <c r="A6" s="16" t="str">
        <f t="shared" si="0"/>
        <v>3</v>
      </c>
      <c r="B6" s="16">
        <f t="shared" si="1"/>
      </c>
      <c r="C6" s="17" t="s">
        <v>22</v>
      </c>
      <c r="D6" s="18">
        <v>1979</v>
      </c>
      <c r="E6" s="19">
        <f>ROUND(F6+IF('Men''s Epée'!$A$3=1,G6,0)+LARGE($S6:$Y6,1)+LARGE($S6:$Y6,2),0)</f>
        <v>3388</v>
      </c>
      <c r="F6" s="20">
        <f>780+768</f>
        <v>1548</v>
      </c>
      <c r="G6" s="21"/>
      <c r="H6" s="21">
        <v>3</v>
      </c>
      <c r="I6" s="22">
        <f>IF(OR('Men''s Epée'!$A$3=1,'Men''s Epée'!$S$3=TRUE),IF(OR(H6&gt;=49,ISNUMBER(H6)=FALSE),0,VLOOKUP(H6,PointTable,I$3,TRUE)),0)</f>
        <v>840</v>
      </c>
      <c r="J6" s="21">
        <v>3</v>
      </c>
      <c r="K6" s="22">
        <f>IF(OR('Men''s Epée'!$A$3=1,'Men''s Epée'!$T$3=TRUE),IF(OR(J6&gt;=49,ISNUMBER(J6)=FALSE),0,VLOOKUP(J6,PointTable,K$3,TRUE)),0)</f>
        <v>840</v>
      </c>
      <c r="L6" s="21">
        <v>1</v>
      </c>
      <c r="M6" s="22">
        <f>IF(OR('Men''s Epée'!$A$3=1,'Men''s Epée'!$U$3=TRUE),IF(OR(L6&gt;=49,ISNUMBER(L6)=FALSE),0,VLOOKUP(L6,PointTable,M$3,TRUE)),0)</f>
        <v>1000</v>
      </c>
      <c r="N6" s="23"/>
      <c r="O6" s="23"/>
      <c r="P6" s="23"/>
      <c r="Q6" s="24"/>
      <c r="S6" s="25">
        <f t="shared" si="4"/>
        <v>840</v>
      </c>
      <c r="T6" s="25">
        <f t="shared" si="2"/>
        <v>840</v>
      </c>
      <c r="U6" s="25">
        <f t="shared" si="3"/>
        <v>1000</v>
      </c>
      <c r="V6" s="25">
        <f>IF(OR('Men''s Epée'!$A$3=1,N6&gt;0),ABS(N6),0)</f>
        <v>0</v>
      </c>
      <c r="W6" s="25">
        <f>IF(OR('Men''s Epée'!$A$3=1,O6&gt;0),ABS(O6),0)</f>
        <v>0</v>
      </c>
      <c r="X6" s="25">
        <f>IF(OR('Men''s Epée'!$A$3=1,P6&gt;0),ABS(P6),0)</f>
        <v>0</v>
      </c>
      <c r="Y6" s="25">
        <f>IF(OR('Men''s Epée'!$A$3=1,Q6&gt;0),ABS(Q6),0)</f>
        <v>0</v>
      </c>
      <c r="AA6" s="12">
        <f>IF('Men''s Epée'!$S$3=TRUE,I6,0)</f>
        <v>840</v>
      </c>
      <c r="AB6" s="12">
        <f>IF('Men''s Epée'!$T$3=TRUE,K6,0)</f>
        <v>840</v>
      </c>
      <c r="AC6" s="12">
        <f>IF('Men''s Epée'!$U$3=TRUE,M6,0)</f>
        <v>1000</v>
      </c>
      <c r="AD6" s="26">
        <f t="shared" si="5"/>
        <v>0</v>
      </c>
      <c r="AE6" s="26">
        <f t="shared" si="5"/>
        <v>0</v>
      </c>
      <c r="AF6" s="26">
        <f t="shared" si="5"/>
        <v>0</v>
      </c>
      <c r="AG6" s="26">
        <f t="shared" si="5"/>
        <v>0</v>
      </c>
      <c r="AH6" s="12">
        <f t="shared" si="6"/>
        <v>3388</v>
      </c>
      <c r="AI6" s="41"/>
    </row>
    <row r="7" spans="1:35" ht="13.5">
      <c r="A7" s="16" t="str">
        <f t="shared" si="0"/>
        <v>4</v>
      </c>
      <c r="B7" s="16">
        <f t="shared" si="1"/>
      </c>
      <c r="C7" s="17" t="s">
        <v>26</v>
      </c>
      <c r="D7" s="18">
        <v>1978</v>
      </c>
      <c r="E7" s="19">
        <f>ROUND(F7+IF('Men''s Epée'!$A$3=1,G7,0)+LARGE($S7:$Y7,1)+LARGE($S7:$Y7,2),0)</f>
        <v>1510</v>
      </c>
      <c r="F7" s="20"/>
      <c r="G7" s="21"/>
      <c r="H7" s="21">
        <v>5</v>
      </c>
      <c r="I7" s="22">
        <f>IF(OR('Men''s Epée'!$A$3=1,'Men''s Epée'!$S$3=TRUE),IF(OR(H7&gt;=49,ISNUMBER(H7)=FALSE),0,VLOOKUP(H7,PointTable,I$3,TRUE)),0)</f>
        <v>755</v>
      </c>
      <c r="J7" s="21">
        <v>5</v>
      </c>
      <c r="K7" s="22">
        <f>IF(OR('Men''s Epée'!$A$3=1,'Men''s Epée'!$T$3=TRUE),IF(OR(J7&gt;=49,ISNUMBER(J7)=FALSE),0,VLOOKUP(J7,PointTable,K$3,TRUE)),0)</f>
        <v>755</v>
      </c>
      <c r="L7" s="21">
        <v>7</v>
      </c>
      <c r="M7" s="22">
        <f>IF(OR('Men''s Epée'!$A$3=1,'Men''s Epée'!$U$3=TRUE),IF(OR(L7&gt;=49,ISNUMBER(L7)=FALSE),0,VLOOKUP(L7,PointTable,M$3,TRUE)),0)</f>
        <v>690</v>
      </c>
      <c r="N7" s="23"/>
      <c r="O7" s="23"/>
      <c r="P7" s="23"/>
      <c r="Q7" s="24"/>
      <c r="S7" s="25">
        <f t="shared" si="4"/>
        <v>755</v>
      </c>
      <c r="T7" s="25">
        <f t="shared" si="2"/>
        <v>755</v>
      </c>
      <c r="U7" s="25">
        <f t="shared" si="3"/>
        <v>690</v>
      </c>
      <c r="V7" s="25">
        <f>IF(OR('Men''s Epée'!$A$3=1,N7&gt;0),ABS(N7),0)</f>
        <v>0</v>
      </c>
      <c r="W7" s="25">
        <f>IF(OR('Men''s Epée'!$A$3=1,O7&gt;0),ABS(O7),0)</f>
        <v>0</v>
      </c>
      <c r="X7" s="25">
        <f>IF(OR('Men''s Epée'!$A$3=1,P7&gt;0),ABS(P7),0)</f>
        <v>0</v>
      </c>
      <c r="Y7" s="25">
        <f>IF(OR('Men''s Epée'!$A$3=1,Q7&gt;0),ABS(Q7),0)</f>
        <v>0</v>
      </c>
      <c r="AA7" s="12">
        <f>IF('Men''s Epée'!$S$3=TRUE,I7,0)</f>
        <v>755</v>
      </c>
      <c r="AB7" s="12">
        <f>IF('Men''s Epée'!$T$3=TRUE,K7,0)</f>
        <v>755</v>
      </c>
      <c r="AC7" s="12">
        <f>IF('Men''s Epée'!$U$3=TRUE,M7,0)</f>
        <v>690</v>
      </c>
      <c r="AD7" s="26">
        <f t="shared" si="5"/>
        <v>0</v>
      </c>
      <c r="AE7" s="26">
        <f t="shared" si="5"/>
        <v>0</v>
      </c>
      <c r="AF7" s="26">
        <f t="shared" si="5"/>
        <v>0</v>
      </c>
      <c r="AG7" s="26">
        <f t="shared" si="5"/>
        <v>0</v>
      </c>
      <c r="AH7" s="12">
        <f t="shared" si="6"/>
        <v>1510</v>
      </c>
      <c r="AI7" s="41"/>
    </row>
    <row r="8" spans="1:35" ht="13.5">
      <c r="A8" s="16" t="str">
        <f t="shared" si="0"/>
        <v>5</v>
      </c>
      <c r="B8" s="16">
        <f t="shared" si="1"/>
      </c>
      <c r="C8" s="17" t="s">
        <v>30</v>
      </c>
      <c r="D8" s="18">
        <v>1981</v>
      </c>
      <c r="E8" s="19">
        <f>ROUND(F8+IF('Men''s Epée'!$A$3=1,G8,0)+LARGE($S8:$Y8,1)+LARGE($S8:$Y8,2),0)</f>
        <v>1500</v>
      </c>
      <c r="F8" s="20">
        <f>112+168</f>
        <v>280</v>
      </c>
      <c r="G8" s="21"/>
      <c r="H8" s="21">
        <v>15</v>
      </c>
      <c r="I8" s="22">
        <f>IF(OR('Men''s Epée'!$A$3=1,'Men''s Epée'!$S$3=TRUE),IF(OR(H8&gt;=49,ISNUMBER(H8)=FALSE),0,VLOOKUP(H8,PointTable,I$3,TRUE)),0)</f>
        <v>495</v>
      </c>
      <c r="J8" s="21">
        <v>6.5</v>
      </c>
      <c r="K8" s="22">
        <f>IF(OR('Men''s Epée'!$A$3=1,'Men''s Epée'!$T$3=TRUE),IF(OR(J8&gt;=49,ISNUMBER(J8)=FALSE),0,VLOOKUP(J8,PointTable,K$3,TRUE)),0)</f>
        <v>725</v>
      </c>
      <c r="L8" s="21">
        <v>19</v>
      </c>
      <c r="M8" s="22">
        <f>IF(OR('Men''s Epée'!$A$3=1,'Men''s Epée'!$U$3=TRUE),IF(OR(L8&gt;=49,ISNUMBER(L8)=FALSE),0,VLOOKUP(L8,PointTable,M$3,TRUE)),0)</f>
        <v>340</v>
      </c>
      <c r="N8" s="23"/>
      <c r="O8" s="23"/>
      <c r="P8" s="23"/>
      <c r="Q8" s="24"/>
      <c r="S8" s="25">
        <f t="shared" si="4"/>
        <v>495</v>
      </c>
      <c r="T8" s="25">
        <f t="shared" si="2"/>
        <v>725</v>
      </c>
      <c r="U8" s="25">
        <f t="shared" si="3"/>
        <v>340</v>
      </c>
      <c r="V8" s="25">
        <f>IF(OR('Men''s Epée'!$A$3=1,N8&gt;0),ABS(N8),0)</f>
        <v>0</v>
      </c>
      <c r="W8" s="25">
        <f>IF(OR('Men''s Epée'!$A$3=1,O8&gt;0),ABS(O8),0)</f>
        <v>0</v>
      </c>
      <c r="X8" s="25">
        <f>IF(OR('Men''s Epée'!$A$3=1,P8&gt;0),ABS(P8),0)</f>
        <v>0</v>
      </c>
      <c r="Y8" s="25">
        <f>IF(OR('Men''s Epée'!$A$3=1,Q8&gt;0),ABS(Q8),0)</f>
        <v>0</v>
      </c>
      <c r="AA8" s="12">
        <f>IF('Men''s Epée'!$S$3=TRUE,I8,0)</f>
        <v>495</v>
      </c>
      <c r="AB8" s="12">
        <f>IF('Men''s Epée'!$T$3=TRUE,K8,0)</f>
        <v>725</v>
      </c>
      <c r="AC8" s="12">
        <f>IF('Men''s Epée'!$U$3=TRUE,M8,0)</f>
        <v>340</v>
      </c>
      <c r="AD8" s="26">
        <f t="shared" si="5"/>
        <v>0</v>
      </c>
      <c r="AE8" s="26">
        <f t="shared" si="5"/>
        <v>0</v>
      </c>
      <c r="AF8" s="26">
        <f t="shared" si="5"/>
        <v>0</v>
      </c>
      <c r="AG8" s="26">
        <f t="shared" si="5"/>
        <v>0</v>
      </c>
      <c r="AH8" s="12">
        <f t="shared" si="6"/>
        <v>1500</v>
      </c>
      <c r="AI8" s="41"/>
    </row>
    <row r="9" spans="1:35" ht="13.5">
      <c r="A9" s="16" t="str">
        <f t="shared" si="0"/>
        <v>6</v>
      </c>
      <c r="B9" s="16">
        <f t="shared" si="1"/>
      </c>
      <c r="C9" s="17" t="s">
        <v>24</v>
      </c>
      <c r="D9" s="18">
        <v>1975</v>
      </c>
      <c r="E9" s="19">
        <f>ROUND(F9+IF('Men''s Epée'!$A$3=1,G9,0)+LARGE($S9:$Y9,1)+LARGE($S9:$Y9,2),0)</f>
        <v>1470</v>
      </c>
      <c r="F9" s="20"/>
      <c r="G9" s="21"/>
      <c r="H9" s="21">
        <v>9</v>
      </c>
      <c r="I9" s="22">
        <f>IF(OR('Men''s Epée'!$A$3=1,'Men''s Epée'!$S$3=TRUE),IF(OR(H9&gt;=49,ISNUMBER(H9)=FALSE),0,VLOOKUP(H9,PointTable,I$3,TRUE)),0)</f>
        <v>620</v>
      </c>
      <c r="J9" s="21">
        <v>20</v>
      </c>
      <c r="K9" s="22">
        <f>IF(OR('Men''s Epée'!$A$3=1,'Men''s Epée'!$T$3=TRUE),IF(OR(J9&gt;=49,ISNUMBER(J9)=FALSE),0,VLOOKUP(J9,PointTable,K$3,TRUE)),0)</f>
        <v>400</v>
      </c>
      <c r="L9" s="21">
        <v>3</v>
      </c>
      <c r="M9" s="22">
        <f>IF(OR('Men''s Epée'!$A$3=1,'Men''s Epée'!$U$3=TRUE),IF(OR(L9&gt;=49,ISNUMBER(L9)=FALSE),0,VLOOKUP(L9,PointTable,M$3,TRUE)),0)</f>
        <v>850</v>
      </c>
      <c r="N9" s="23"/>
      <c r="O9" s="23"/>
      <c r="P9" s="23"/>
      <c r="Q9" s="24"/>
      <c r="S9" s="25">
        <f t="shared" si="4"/>
        <v>620</v>
      </c>
      <c r="T9" s="25">
        <f t="shared" si="2"/>
        <v>400</v>
      </c>
      <c r="U9" s="25">
        <f t="shared" si="3"/>
        <v>850</v>
      </c>
      <c r="V9" s="25">
        <f>IF(OR('Men''s Epée'!$A$3=1,N9&gt;0),ABS(N9),0)</f>
        <v>0</v>
      </c>
      <c r="W9" s="25">
        <f>IF(OR('Men''s Epée'!$A$3=1,O9&gt;0),ABS(O9),0)</f>
        <v>0</v>
      </c>
      <c r="X9" s="25">
        <f>IF(OR('Men''s Epée'!$A$3=1,P9&gt;0),ABS(P9),0)</f>
        <v>0</v>
      </c>
      <c r="Y9" s="25">
        <f>IF(OR('Men''s Epée'!$A$3=1,Q9&gt;0),ABS(Q9),0)</f>
        <v>0</v>
      </c>
      <c r="AA9" s="12">
        <f>IF('Men''s Epée'!$S$3=TRUE,I9,0)</f>
        <v>620</v>
      </c>
      <c r="AB9" s="12">
        <f>IF('Men''s Epée'!$T$3=TRUE,K9,0)</f>
        <v>400</v>
      </c>
      <c r="AC9" s="12">
        <f>IF('Men''s Epée'!$U$3=TRUE,M9,0)</f>
        <v>850</v>
      </c>
      <c r="AD9" s="26">
        <f t="shared" si="5"/>
        <v>0</v>
      </c>
      <c r="AE9" s="26">
        <f t="shared" si="5"/>
        <v>0</v>
      </c>
      <c r="AF9" s="26">
        <f t="shared" si="5"/>
        <v>0</v>
      </c>
      <c r="AG9" s="26">
        <f t="shared" si="5"/>
        <v>0</v>
      </c>
      <c r="AH9" s="12">
        <f t="shared" si="6"/>
        <v>1470</v>
      </c>
      <c r="AI9" s="41"/>
    </row>
    <row r="10" spans="1:35" ht="13.5">
      <c r="A10" s="16" t="str">
        <f t="shared" si="0"/>
        <v>7</v>
      </c>
      <c r="B10" s="16">
        <f t="shared" si="1"/>
      </c>
      <c r="C10" s="17" t="s">
        <v>98</v>
      </c>
      <c r="D10" s="18">
        <v>1975</v>
      </c>
      <c r="E10" s="19">
        <f>ROUND(F10+IF('Men''s Epée'!$A$3=1,G10,0)+LARGE($S10:$Y10,1)+LARGE($S10:$Y10,2),0)</f>
        <v>1380</v>
      </c>
      <c r="F10" s="20"/>
      <c r="G10" s="21"/>
      <c r="H10" s="21">
        <v>8</v>
      </c>
      <c r="I10" s="22">
        <f>IF(OR('Men''s Epée'!$A$3=1,'Men''s Epée'!$S$3=TRUE),IF(OR(H10&gt;=49,ISNUMBER(H10)=FALSE),0,VLOOKUP(H10,PointTable,I$3,TRUE)),0)</f>
        <v>695</v>
      </c>
      <c r="J10" s="21">
        <v>17</v>
      </c>
      <c r="K10" s="22">
        <f>IF(OR('Men''s Epée'!$A$3=1,'Men''s Epée'!$T$3=TRUE),IF(OR(J10&gt;=49,ISNUMBER(J10)=FALSE),0,VLOOKUP(J10,PointTable,K$3,TRUE)),0)</f>
        <v>415</v>
      </c>
      <c r="L10" s="21">
        <v>8</v>
      </c>
      <c r="M10" s="22">
        <f>IF(OR('Men''s Epée'!$A$3=1,'Men''s Epée'!$U$3=TRUE),IF(OR(L10&gt;=49,ISNUMBER(L10)=FALSE),0,VLOOKUP(L10,PointTable,M$3,TRUE)),0)</f>
        <v>685</v>
      </c>
      <c r="N10" s="23">
        <v>459.008</v>
      </c>
      <c r="O10" s="23"/>
      <c r="P10" s="23"/>
      <c r="Q10" s="24"/>
      <c r="S10" s="25">
        <f t="shared" si="4"/>
        <v>695</v>
      </c>
      <c r="T10" s="25">
        <f t="shared" si="2"/>
        <v>415</v>
      </c>
      <c r="U10" s="25">
        <f t="shared" si="3"/>
        <v>685</v>
      </c>
      <c r="V10" s="25">
        <f>IF(OR('Men''s Epée'!$A$3=1,N10&gt;0),ABS(N10),0)</f>
        <v>459.008</v>
      </c>
      <c r="W10" s="25">
        <f>IF(OR('Men''s Epée'!$A$3=1,O10&gt;0),ABS(O10),0)</f>
        <v>0</v>
      </c>
      <c r="X10" s="25">
        <f>IF(OR('Men''s Epée'!$A$3=1,P10&gt;0),ABS(P10),0)</f>
        <v>0</v>
      </c>
      <c r="Y10" s="25">
        <f>IF(OR('Men''s Epée'!$A$3=1,Q10&gt;0),ABS(Q10),0)</f>
        <v>0</v>
      </c>
      <c r="AA10" s="12">
        <f>IF('Men''s Epée'!$S$3=TRUE,I10,0)</f>
        <v>695</v>
      </c>
      <c r="AB10" s="12">
        <f>IF('Men''s Epée'!$T$3=TRUE,K10,0)</f>
        <v>415</v>
      </c>
      <c r="AC10" s="12">
        <f>IF('Men''s Epée'!$U$3=TRUE,M10,0)</f>
        <v>685</v>
      </c>
      <c r="AD10" s="26">
        <f t="shared" si="5"/>
        <v>459.008</v>
      </c>
      <c r="AE10" s="26">
        <f t="shared" si="5"/>
        <v>0</v>
      </c>
      <c r="AF10" s="26">
        <f t="shared" si="5"/>
        <v>0</v>
      </c>
      <c r="AG10" s="26">
        <f t="shared" si="5"/>
        <v>0</v>
      </c>
      <c r="AH10" s="12">
        <f t="shared" si="6"/>
        <v>1380</v>
      </c>
      <c r="AI10" s="41"/>
    </row>
    <row r="11" spans="1:35" ht="13.5">
      <c r="A11" s="16" t="str">
        <f t="shared" si="0"/>
        <v>8</v>
      </c>
      <c r="B11" s="16" t="str">
        <f t="shared" si="1"/>
        <v>#</v>
      </c>
      <c r="C11" s="38" t="s">
        <v>110</v>
      </c>
      <c r="D11" s="36">
        <v>1983</v>
      </c>
      <c r="E11" s="19">
        <f>ROUND(F11+IF('Men''s Epée'!$A$3=1,G11,0)+LARGE($S11:$Y11,1)+LARGE($S11:$Y11,2),0)</f>
        <v>1320</v>
      </c>
      <c r="F11" s="20"/>
      <c r="G11" s="21"/>
      <c r="H11" s="21">
        <v>16</v>
      </c>
      <c r="I11" s="22">
        <f>IF(OR('Men''s Epée'!$A$3=1,'Men''s Epée'!$S$3=TRUE),IF(OR(H11&gt;=49,ISNUMBER(H11)=FALSE),0,VLOOKUP(H11,PointTable,I$3,TRUE)),0)</f>
        <v>480</v>
      </c>
      <c r="J11" s="21">
        <v>9</v>
      </c>
      <c r="K11" s="22">
        <f>IF(OR('Men''s Epée'!$A$3=1,'Men''s Epée'!$T$3=TRUE),IF(OR(J11&gt;=49,ISNUMBER(J11)=FALSE),0,VLOOKUP(J11,PointTable,K$3,TRUE)),0)</f>
        <v>620</v>
      </c>
      <c r="L11" s="21">
        <v>5</v>
      </c>
      <c r="M11" s="22">
        <f>IF(OR('Men''s Epée'!$A$3=1,'Men''s Epée'!$U$3=TRUE),IF(OR(L11&gt;=49,ISNUMBER(L11)=FALSE),0,VLOOKUP(L11,PointTable,M$3,TRUE)),0)</f>
        <v>700</v>
      </c>
      <c r="N11" s="23"/>
      <c r="O11" s="23"/>
      <c r="P11" s="23"/>
      <c r="Q11" s="24"/>
      <c r="S11" s="25">
        <f t="shared" si="4"/>
        <v>480</v>
      </c>
      <c r="T11" s="25">
        <f t="shared" si="2"/>
        <v>620</v>
      </c>
      <c r="U11" s="25">
        <f t="shared" si="3"/>
        <v>700</v>
      </c>
      <c r="V11" s="25">
        <f>IF(OR('Men''s Epée'!$A$3=1,N11&gt;0),ABS(N11),0)</f>
        <v>0</v>
      </c>
      <c r="W11" s="25">
        <f>IF(OR('Men''s Epée'!$A$3=1,O11&gt;0),ABS(O11),0)</f>
        <v>0</v>
      </c>
      <c r="X11" s="25">
        <f>IF(OR('Men''s Epée'!$A$3=1,P11&gt;0),ABS(P11),0)</f>
        <v>0</v>
      </c>
      <c r="Y11" s="25">
        <f>IF(OR('Men''s Epée'!$A$3=1,Q11&gt;0),ABS(Q11),0)</f>
        <v>0</v>
      </c>
      <c r="AA11" s="12">
        <f>IF('Men''s Epée'!$S$3=TRUE,I11,0)</f>
        <v>480</v>
      </c>
      <c r="AB11" s="12">
        <f>IF('Men''s Epée'!$T$3=TRUE,K11,0)</f>
        <v>620</v>
      </c>
      <c r="AC11" s="12">
        <f>IF('Men''s Epée'!$U$3=TRUE,M11,0)</f>
        <v>700</v>
      </c>
      <c r="AD11" s="26">
        <f t="shared" si="5"/>
        <v>0</v>
      </c>
      <c r="AE11" s="26">
        <f t="shared" si="5"/>
        <v>0</v>
      </c>
      <c r="AF11" s="26">
        <f t="shared" si="5"/>
        <v>0</v>
      </c>
      <c r="AG11" s="26">
        <f t="shared" si="5"/>
        <v>0</v>
      </c>
      <c r="AH11" s="12">
        <f t="shared" si="6"/>
        <v>1320</v>
      </c>
      <c r="AI11" s="41"/>
    </row>
    <row r="12" spans="1:35" ht="13.5">
      <c r="A12" s="16" t="str">
        <f t="shared" si="0"/>
        <v>9</v>
      </c>
      <c r="B12" s="16">
        <f t="shared" si="1"/>
      </c>
      <c r="C12" s="17" t="s">
        <v>23</v>
      </c>
      <c r="D12" s="18">
        <v>1978</v>
      </c>
      <c r="E12" s="19">
        <f>ROUND(F12+IF('Men''s Epée'!$A$3=1,G12,0)+LARGE($S12:$Y12,1)+LARGE($S12:$Y12,2),0)</f>
        <v>1260</v>
      </c>
      <c r="F12" s="20"/>
      <c r="G12" s="21"/>
      <c r="H12" s="21">
        <v>18</v>
      </c>
      <c r="I12" s="22">
        <f>IF(OR('Men''s Epée'!$A$3=1,'Men''s Epée'!$S$3=TRUE),IF(OR(H12&gt;=49,ISNUMBER(H12)=FALSE),0,VLOOKUP(H12,PointTable,I$3,TRUE)),0)</f>
        <v>410</v>
      </c>
      <c r="J12" s="21">
        <v>25</v>
      </c>
      <c r="K12" s="22">
        <f>IF(OR('Men''s Epée'!$A$3=1,'Men''s Epée'!$T$3=TRUE),IF(OR(J12&gt;=49,ISNUMBER(J12)=FALSE),0,VLOOKUP(J12,PointTable,K$3,TRUE)),0)</f>
        <v>315</v>
      </c>
      <c r="L12" s="21">
        <v>3</v>
      </c>
      <c r="M12" s="22">
        <f>IF(OR('Men''s Epée'!$A$3=1,'Men''s Epée'!$U$3=TRUE),IF(OR(L12&gt;=49,ISNUMBER(L12)=FALSE),0,VLOOKUP(L12,PointTable,M$3,TRUE)),0)</f>
        <v>850</v>
      </c>
      <c r="N12" s="23"/>
      <c r="O12" s="23"/>
      <c r="P12" s="23"/>
      <c r="Q12" s="24"/>
      <c r="S12" s="25">
        <f t="shared" si="4"/>
        <v>410</v>
      </c>
      <c r="T12" s="25">
        <f t="shared" si="2"/>
        <v>315</v>
      </c>
      <c r="U12" s="25">
        <f t="shared" si="3"/>
        <v>850</v>
      </c>
      <c r="V12" s="25">
        <f>IF(OR('Men''s Epée'!$A$3=1,N12&gt;0),ABS(N12),0)</f>
        <v>0</v>
      </c>
      <c r="W12" s="25">
        <f>IF(OR('Men''s Epée'!$A$3=1,O12&gt;0),ABS(O12),0)</f>
        <v>0</v>
      </c>
      <c r="X12" s="25">
        <f>IF(OR('Men''s Epée'!$A$3=1,P12&gt;0),ABS(P12),0)</f>
        <v>0</v>
      </c>
      <c r="Y12" s="25">
        <f>IF(OR('Men''s Epée'!$A$3=1,Q12&gt;0),ABS(Q12),0)</f>
        <v>0</v>
      </c>
      <c r="AA12" s="12">
        <f>IF('Men''s Epée'!$S$3=TRUE,I12,0)</f>
        <v>410</v>
      </c>
      <c r="AB12" s="12">
        <f>IF('Men''s Epée'!$T$3=TRUE,K12,0)</f>
        <v>315</v>
      </c>
      <c r="AC12" s="12">
        <f>IF('Men''s Epée'!$U$3=TRUE,M12,0)</f>
        <v>850</v>
      </c>
      <c r="AD12" s="26">
        <f t="shared" si="5"/>
        <v>0</v>
      </c>
      <c r="AE12" s="26">
        <f t="shared" si="5"/>
        <v>0</v>
      </c>
      <c r="AF12" s="26">
        <f t="shared" si="5"/>
        <v>0</v>
      </c>
      <c r="AG12" s="26">
        <f t="shared" si="5"/>
        <v>0</v>
      </c>
      <c r="AH12" s="12">
        <f t="shared" si="6"/>
        <v>1260</v>
      </c>
      <c r="AI12" s="41"/>
    </row>
    <row r="13" spans="1:35" ht="13.5">
      <c r="A13" s="16" t="str">
        <f t="shared" si="0"/>
        <v>10</v>
      </c>
      <c r="B13" s="16" t="str">
        <f t="shared" si="1"/>
        <v>#</v>
      </c>
      <c r="C13" s="17" t="s">
        <v>171</v>
      </c>
      <c r="D13" s="18">
        <v>1985</v>
      </c>
      <c r="E13" s="19">
        <f>ROUND(F13+IF('Men''s Epée'!$A$3=1,G13,0)+LARGE($S13:$Y13,1)+LARGE($S13:$Y13,2),0)</f>
        <v>1246</v>
      </c>
      <c r="F13" s="20">
        <v>88</v>
      </c>
      <c r="G13" s="21"/>
      <c r="H13" s="21">
        <v>40.5</v>
      </c>
      <c r="I13" s="22">
        <f>IF(OR('Men''s Epée'!$A$3=1,'Men''s Epée'!$S$3=TRUE),IF(OR(H13&gt;=49,ISNUMBER(H13)=FALSE),0,VLOOKUP(H13,PointTable,I$3,TRUE)),0)</f>
        <v>237.5</v>
      </c>
      <c r="J13" s="21" t="s">
        <v>5</v>
      </c>
      <c r="K13" s="22">
        <f>IF(OR('Men''s Epée'!$A$3=1,'Men''s Epée'!$T$3=TRUE),IF(OR(J13&gt;=49,ISNUMBER(J13)=FALSE),0,VLOOKUP(J13,PointTable,K$3,TRUE)),0)</f>
        <v>0</v>
      </c>
      <c r="L13" s="21">
        <v>2</v>
      </c>
      <c r="M13" s="22">
        <f>IF(OR('Men''s Epée'!$A$3=1,'Men''s Epée'!$U$3=TRUE),IF(OR(L13&gt;=49,ISNUMBER(L13)=FALSE),0,VLOOKUP(L13,PointTable,M$3,TRUE)),0)</f>
        <v>920</v>
      </c>
      <c r="N13" s="23">
        <v>35.64</v>
      </c>
      <c r="O13" s="23"/>
      <c r="P13" s="23"/>
      <c r="Q13" s="24"/>
      <c r="S13" s="25">
        <f t="shared" si="4"/>
        <v>237.5</v>
      </c>
      <c r="T13" s="25">
        <f t="shared" si="2"/>
        <v>0</v>
      </c>
      <c r="U13" s="25">
        <f t="shared" si="3"/>
        <v>920</v>
      </c>
      <c r="V13" s="25">
        <f>IF(OR('Men''s Epée'!$A$3=1,N13&gt;0),ABS(N13),0)</f>
        <v>35.64</v>
      </c>
      <c r="W13" s="25">
        <f>IF(OR('Men''s Epée'!$A$3=1,O13&gt;0),ABS(O13),0)</f>
        <v>0</v>
      </c>
      <c r="X13" s="25">
        <f>IF(OR('Men''s Epée'!$A$3=1,P13&gt;0),ABS(P13),0)</f>
        <v>0</v>
      </c>
      <c r="Y13" s="25">
        <f>IF(OR('Men''s Epée'!$A$3=1,Q13&gt;0),ABS(Q13),0)</f>
        <v>0</v>
      </c>
      <c r="AA13" s="12">
        <f>IF('Men''s Epée'!$S$3=TRUE,I13,0)</f>
        <v>237.5</v>
      </c>
      <c r="AB13" s="12">
        <f>IF('Men''s Epée'!$T$3=TRUE,K13,0)</f>
        <v>0</v>
      </c>
      <c r="AC13" s="12">
        <f>IF('Men''s Epée'!$U$3=TRUE,M13,0)</f>
        <v>920</v>
      </c>
      <c r="AD13" s="26">
        <f t="shared" si="5"/>
        <v>35.64</v>
      </c>
      <c r="AE13" s="26">
        <f t="shared" si="5"/>
        <v>0</v>
      </c>
      <c r="AF13" s="26">
        <f t="shared" si="5"/>
        <v>0</v>
      </c>
      <c r="AG13" s="26">
        <f t="shared" si="5"/>
        <v>0</v>
      </c>
      <c r="AH13" s="12">
        <f t="shared" si="6"/>
        <v>1246</v>
      </c>
      <c r="AI13" s="41"/>
    </row>
    <row r="14" spans="1:35" ht="13.5">
      <c r="A14" s="16" t="str">
        <f t="shared" si="0"/>
        <v>11</v>
      </c>
      <c r="B14" s="16" t="str">
        <f t="shared" si="1"/>
        <v>#</v>
      </c>
      <c r="C14" s="17" t="s">
        <v>158</v>
      </c>
      <c r="D14" s="18">
        <v>1983</v>
      </c>
      <c r="E14" s="19">
        <f>ROUND(F14+IF('Men''s Epée'!$A$3=1,G14,0)+LARGE($S14:$Y14,1)+LARGE($S14:$Y14,2),0)</f>
        <v>1065</v>
      </c>
      <c r="F14" s="20"/>
      <c r="G14" s="21"/>
      <c r="H14" s="21">
        <v>7</v>
      </c>
      <c r="I14" s="22">
        <f>IF(OR('Men''s Epée'!$A$3=1,'Men''s Epée'!$S$3=TRUE),IF(OR(H14&gt;=49,ISNUMBER(H14)=FALSE),0,VLOOKUP(H14,PointTable,I$3,TRUE)),0)</f>
        <v>715</v>
      </c>
      <c r="J14" s="21" t="s">
        <v>5</v>
      </c>
      <c r="K14" s="22">
        <f>IF(OR('Men''s Epée'!$A$3=1,'Men''s Epée'!$T$3=TRUE),IF(OR(J14&gt;=49,ISNUMBER(J14)=FALSE),0,VLOOKUP(J14,PointTable,K$3,TRUE)),0)</f>
        <v>0</v>
      </c>
      <c r="L14" s="21">
        <v>17</v>
      </c>
      <c r="M14" s="22">
        <f>IF(OR('Men''s Epée'!$A$3=1,'Men''s Epée'!$U$3=TRUE),IF(OR(L14&gt;=49,ISNUMBER(L14)=FALSE),0,VLOOKUP(L14,PointTable,M$3,TRUE)),0)</f>
        <v>350</v>
      </c>
      <c r="N14" s="23"/>
      <c r="O14" s="23"/>
      <c r="P14" s="23"/>
      <c r="Q14" s="24"/>
      <c r="S14" s="25">
        <f t="shared" si="4"/>
        <v>715</v>
      </c>
      <c r="T14" s="25">
        <f t="shared" si="2"/>
        <v>0</v>
      </c>
      <c r="U14" s="25">
        <f t="shared" si="3"/>
        <v>350</v>
      </c>
      <c r="V14" s="25">
        <f>IF(OR('Men''s Epée'!$A$3=1,N14&gt;0),ABS(N14),0)</f>
        <v>0</v>
      </c>
      <c r="W14" s="25">
        <f>IF(OR('Men''s Epée'!$A$3=1,O14&gt;0),ABS(O14),0)</f>
        <v>0</v>
      </c>
      <c r="X14" s="25">
        <f>IF(OR('Men''s Epée'!$A$3=1,P14&gt;0),ABS(P14),0)</f>
        <v>0</v>
      </c>
      <c r="Y14" s="25">
        <f>IF(OR('Men''s Epée'!$A$3=1,Q14&gt;0),ABS(Q14),0)</f>
        <v>0</v>
      </c>
      <c r="AA14" s="12">
        <f>IF('Men''s Epée'!$S$3=TRUE,I14,0)</f>
        <v>715</v>
      </c>
      <c r="AB14" s="12">
        <f>IF('Men''s Epée'!$T$3=TRUE,K14,0)</f>
        <v>0</v>
      </c>
      <c r="AC14" s="12">
        <f>IF('Men''s Epée'!$U$3=TRUE,M14,0)</f>
        <v>350</v>
      </c>
      <c r="AD14" s="26">
        <f t="shared" si="5"/>
        <v>0</v>
      </c>
      <c r="AE14" s="26">
        <f t="shared" si="5"/>
        <v>0</v>
      </c>
      <c r="AF14" s="26">
        <f t="shared" si="5"/>
        <v>0</v>
      </c>
      <c r="AG14" s="26">
        <f t="shared" si="5"/>
        <v>0</v>
      </c>
      <c r="AH14" s="12">
        <f t="shared" si="6"/>
        <v>1065</v>
      </c>
      <c r="AI14" s="41"/>
    </row>
    <row r="15" spans="1:35" ht="13.5">
      <c r="A15" s="16" t="str">
        <f t="shared" si="0"/>
        <v>12</v>
      </c>
      <c r="B15" s="16" t="str">
        <f t="shared" si="1"/>
        <v>#</v>
      </c>
      <c r="C15" s="17" t="s">
        <v>114</v>
      </c>
      <c r="D15" s="18">
        <v>1983</v>
      </c>
      <c r="E15" s="19">
        <f>ROUND(F15+IF('Men''s Epée'!$A$3=1,G15,0)+LARGE($S15:$Y15,1)+LARGE($S15:$Y15,2),0)</f>
        <v>1030</v>
      </c>
      <c r="F15" s="20"/>
      <c r="G15" s="21"/>
      <c r="H15" s="21">
        <v>6</v>
      </c>
      <c r="I15" s="22">
        <f>IF(OR('Men''s Epée'!$A$3=1,'Men''s Epée'!$S$3=TRUE),IF(OR(H15&gt;=49,ISNUMBER(H15)=FALSE),0,VLOOKUP(H15,PointTable,I$3,TRUE)),0)</f>
        <v>735</v>
      </c>
      <c r="J15" s="21">
        <v>29</v>
      </c>
      <c r="K15" s="22">
        <f>IF(OR('Men''s Epée'!$A$3=1,'Men''s Epée'!$T$3=TRUE),IF(OR(J15&gt;=49,ISNUMBER(J15)=FALSE),0,VLOOKUP(J15,PointTable,K$3,TRUE)),0)</f>
        <v>295</v>
      </c>
      <c r="L15" s="21" t="s">
        <v>5</v>
      </c>
      <c r="M15" s="22">
        <f>IF(OR('Men''s Epée'!$A$3=1,'Men''s Epée'!$U$3=TRUE),IF(OR(L15&gt;=49,ISNUMBER(L15)=FALSE),0,VLOOKUP(L15,PointTable,M$3,TRUE)),0)</f>
        <v>0</v>
      </c>
      <c r="N15" s="23"/>
      <c r="O15" s="23"/>
      <c r="P15" s="23"/>
      <c r="Q15" s="24"/>
      <c r="S15" s="25">
        <f t="shared" si="4"/>
        <v>735</v>
      </c>
      <c r="T15" s="25">
        <f t="shared" si="2"/>
        <v>295</v>
      </c>
      <c r="U15" s="25">
        <f t="shared" si="3"/>
        <v>0</v>
      </c>
      <c r="V15" s="25">
        <f>IF(OR('Men''s Epée'!$A$3=1,N15&gt;0),ABS(N15),0)</f>
        <v>0</v>
      </c>
      <c r="W15" s="25">
        <f>IF(OR('Men''s Epée'!$A$3=1,O15&gt;0),ABS(O15),0)</f>
        <v>0</v>
      </c>
      <c r="X15" s="25">
        <f>IF(OR('Men''s Epée'!$A$3=1,P15&gt;0),ABS(P15),0)</f>
        <v>0</v>
      </c>
      <c r="Y15" s="25">
        <f>IF(OR('Men''s Epée'!$A$3=1,Q15&gt;0),ABS(Q15),0)</f>
        <v>0</v>
      </c>
      <c r="AA15" s="12">
        <f>IF('Men''s Epée'!$S$3=TRUE,I15,0)</f>
        <v>735</v>
      </c>
      <c r="AB15" s="12">
        <f>IF('Men''s Epée'!$T$3=TRUE,K15,0)</f>
        <v>295</v>
      </c>
      <c r="AC15" s="12">
        <f>IF('Men''s Epée'!$U$3=TRUE,M15,0)</f>
        <v>0</v>
      </c>
      <c r="AD15" s="26">
        <f t="shared" si="5"/>
        <v>0</v>
      </c>
      <c r="AE15" s="26">
        <f t="shared" si="5"/>
        <v>0</v>
      </c>
      <c r="AF15" s="26">
        <f t="shared" si="5"/>
        <v>0</v>
      </c>
      <c r="AG15" s="26">
        <f t="shared" si="5"/>
        <v>0</v>
      </c>
      <c r="AH15" s="12">
        <f t="shared" si="6"/>
        <v>1030</v>
      </c>
      <c r="AI15" s="41"/>
    </row>
    <row r="16" spans="1:35" ht="13.5">
      <c r="A16" s="16" t="str">
        <f t="shared" si="0"/>
        <v>13</v>
      </c>
      <c r="B16" s="16">
        <f t="shared" si="1"/>
      </c>
      <c r="C16" s="17" t="s">
        <v>32</v>
      </c>
      <c r="D16" s="18">
        <v>1981</v>
      </c>
      <c r="E16" s="19">
        <f>ROUND(F16+IF('Men''s Epée'!$A$3=1,G16,0)+LARGE($S16:$Y16,1)+LARGE($S16:$Y16,2),0)</f>
        <v>1010</v>
      </c>
      <c r="F16" s="20"/>
      <c r="G16" s="21"/>
      <c r="H16" s="21">
        <v>19</v>
      </c>
      <c r="I16" s="22">
        <f>IF(OR('Men''s Epée'!$A$3=1,'Men''s Epée'!$S$3=TRUE),IF(OR(H16&gt;=49,ISNUMBER(H16)=FALSE),0,VLOOKUP(H16,PointTable,I$3,TRUE)),0)</f>
        <v>405</v>
      </c>
      <c r="J16" s="21">
        <v>14</v>
      </c>
      <c r="K16" s="22">
        <f>IF(OR('Men''s Epée'!$A$3=1,'Men''s Epée'!$T$3=TRUE),IF(OR(J16&gt;=49,ISNUMBER(J16)=FALSE),0,VLOOKUP(J16,PointTable,K$3,TRUE)),0)</f>
        <v>510</v>
      </c>
      <c r="L16" s="21">
        <v>16</v>
      </c>
      <c r="M16" s="22">
        <f>IF(OR('Men''s Epée'!$A$3=1,'Men''s Epée'!$U$3=TRUE),IF(OR(L16&gt;=49,ISNUMBER(L16)=FALSE),0,VLOOKUP(L16,PointTable,M$3,TRUE)),0)</f>
        <v>500</v>
      </c>
      <c r="N16" s="23"/>
      <c r="O16" s="23"/>
      <c r="P16" s="23"/>
      <c r="Q16" s="24"/>
      <c r="S16" s="25">
        <f t="shared" si="4"/>
        <v>405</v>
      </c>
      <c r="T16" s="25">
        <f t="shared" si="2"/>
        <v>510</v>
      </c>
      <c r="U16" s="25">
        <f t="shared" si="3"/>
        <v>500</v>
      </c>
      <c r="V16" s="25">
        <f>IF(OR('Men''s Epée'!$A$3=1,N16&gt;0),ABS(N16),0)</f>
        <v>0</v>
      </c>
      <c r="W16" s="25">
        <f>IF(OR('Men''s Epée'!$A$3=1,O16&gt;0),ABS(O16),0)</f>
        <v>0</v>
      </c>
      <c r="X16" s="25">
        <f>IF(OR('Men''s Epée'!$A$3=1,P16&gt;0),ABS(P16),0)</f>
        <v>0</v>
      </c>
      <c r="Y16" s="25">
        <f>IF(OR('Men''s Epée'!$A$3=1,Q16&gt;0),ABS(Q16),0)</f>
        <v>0</v>
      </c>
      <c r="AA16" s="12">
        <f>IF('Men''s Epée'!$S$3=TRUE,I16,0)</f>
        <v>405</v>
      </c>
      <c r="AB16" s="12">
        <f>IF('Men''s Epée'!$T$3=TRUE,K16,0)</f>
        <v>510</v>
      </c>
      <c r="AC16" s="12">
        <f>IF('Men''s Epée'!$U$3=TRUE,M16,0)</f>
        <v>500</v>
      </c>
      <c r="AD16" s="26">
        <f t="shared" si="5"/>
        <v>0</v>
      </c>
      <c r="AE16" s="26">
        <f t="shared" si="5"/>
        <v>0</v>
      </c>
      <c r="AF16" s="26">
        <f t="shared" si="5"/>
        <v>0</v>
      </c>
      <c r="AG16" s="26">
        <f t="shared" si="5"/>
        <v>0</v>
      </c>
      <c r="AH16" s="12">
        <f t="shared" si="6"/>
        <v>1010</v>
      </c>
      <c r="AI16" s="41"/>
    </row>
    <row r="17" spans="1:35" ht="13.5">
      <c r="A17" s="16" t="str">
        <f t="shared" si="0"/>
        <v>14</v>
      </c>
      <c r="B17" s="16">
        <f t="shared" si="1"/>
      </c>
      <c r="C17" s="17" t="s">
        <v>159</v>
      </c>
      <c r="D17" s="18">
        <v>1981</v>
      </c>
      <c r="E17" s="19">
        <f>ROUND(F17+IF('Men''s Epée'!$A$3=1,G17,0)+LARGE($S17:$Y17,1)+LARGE($S17:$Y17,2),0)</f>
        <v>990</v>
      </c>
      <c r="F17" s="20">
        <v>152</v>
      </c>
      <c r="G17" s="21"/>
      <c r="H17" s="21" t="s">
        <v>5</v>
      </c>
      <c r="I17" s="22">
        <f>IF(OR('Men''s Epée'!$A$3=1,'Men''s Epée'!$S$3=TRUE),IF(OR(H17&gt;=49,ISNUMBER(H17)=FALSE),0,VLOOKUP(H17,PointTable,I$3,TRUE)),0)</f>
        <v>0</v>
      </c>
      <c r="J17" s="21">
        <v>27.5</v>
      </c>
      <c r="K17" s="22">
        <f>IF(OR('Men''s Epée'!$A$3=1,'Men''s Epée'!$T$3=TRUE),IF(OR(J17&gt;=49,ISNUMBER(J17)=FALSE),0,VLOOKUP(J17,PointTable,K$3,TRUE)),0)</f>
        <v>302.5</v>
      </c>
      <c r="L17" s="21">
        <v>9</v>
      </c>
      <c r="M17" s="22">
        <f>IF(OR('Men''s Epée'!$A$3=1,'Men''s Epée'!$U$3=TRUE),IF(OR(L17&gt;=49,ISNUMBER(L17)=FALSE),0,VLOOKUP(L17,PointTable,M$3,TRUE)),0)</f>
        <v>535</v>
      </c>
      <c r="N17" s="23"/>
      <c r="O17" s="23"/>
      <c r="P17" s="23"/>
      <c r="Q17" s="24"/>
      <c r="S17" s="25">
        <f t="shared" si="4"/>
        <v>0</v>
      </c>
      <c r="T17" s="25">
        <f t="shared" si="2"/>
        <v>302.5</v>
      </c>
      <c r="U17" s="25">
        <f t="shared" si="3"/>
        <v>535</v>
      </c>
      <c r="V17" s="25">
        <f>IF(OR('Men''s Epée'!$A$3=1,N17&gt;0),ABS(N17),0)</f>
        <v>0</v>
      </c>
      <c r="W17" s="25">
        <f>IF(OR('Men''s Epée'!$A$3=1,O17&gt;0),ABS(O17),0)</f>
        <v>0</v>
      </c>
      <c r="X17" s="25">
        <f>IF(OR('Men''s Epée'!$A$3=1,P17&gt;0),ABS(P17),0)</f>
        <v>0</v>
      </c>
      <c r="Y17" s="25">
        <f>IF(OR('Men''s Epée'!$A$3=1,Q17&gt;0),ABS(Q17),0)</f>
        <v>0</v>
      </c>
      <c r="AA17" s="12">
        <f>IF('Men''s Epée'!$S$3=TRUE,I17,0)</f>
        <v>0</v>
      </c>
      <c r="AB17" s="12">
        <f>IF('Men''s Epée'!$T$3=TRUE,K17,0)</f>
        <v>302.5</v>
      </c>
      <c r="AC17" s="12">
        <f>IF('Men''s Epée'!$U$3=TRUE,M17,0)</f>
        <v>535</v>
      </c>
      <c r="AD17" s="26">
        <f t="shared" si="5"/>
        <v>0</v>
      </c>
      <c r="AE17" s="26">
        <f t="shared" si="5"/>
        <v>0</v>
      </c>
      <c r="AF17" s="26">
        <f t="shared" si="5"/>
        <v>0</v>
      </c>
      <c r="AG17" s="26">
        <f t="shared" si="5"/>
        <v>0</v>
      </c>
      <c r="AH17" s="12">
        <f t="shared" si="6"/>
        <v>990</v>
      </c>
      <c r="AI17" s="41"/>
    </row>
    <row r="18" spans="1:34" ht="13.5">
      <c r="A18" s="16" t="str">
        <f t="shared" si="0"/>
        <v>15</v>
      </c>
      <c r="B18" s="16">
        <f t="shared" si="1"/>
      </c>
      <c r="C18" s="17" t="s">
        <v>29</v>
      </c>
      <c r="D18" s="18">
        <v>1981</v>
      </c>
      <c r="E18" s="19">
        <f>ROUND(F18+IF('Men''s Epée'!$A$3=1,G18,0)+LARGE($S18:$Y18,1)+LARGE($S18:$Y18,2),0)</f>
        <v>930</v>
      </c>
      <c r="F18" s="20"/>
      <c r="G18" s="21"/>
      <c r="H18" s="21">
        <v>25</v>
      </c>
      <c r="I18" s="22">
        <f>IF(OR('Men''s Epée'!$A$3=1,'Men''s Epée'!$S$3=TRUE),IF(OR(H18&gt;=49,ISNUMBER(H18)=FALSE),0,VLOOKUP(H18,PointTable,I$3,TRUE)),0)</f>
        <v>315</v>
      </c>
      <c r="J18" s="21">
        <v>19</v>
      </c>
      <c r="K18" s="22">
        <f>IF(OR('Men''s Epée'!$A$3=1,'Men''s Epée'!$T$3=TRUE),IF(OR(J18&gt;=49,ISNUMBER(J18)=FALSE),0,VLOOKUP(J18,PointTable,K$3,TRUE)),0)</f>
        <v>405</v>
      </c>
      <c r="L18" s="21">
        <v>11</v>
      </c>
      <c r="M18" s="22">
        <f>IF(OR('Men''s Epée'!$A$3=1,'Men''s Epée'!$U$3=TRUE),IF(OR(L18&gt;=49,ISNUMBER(L18)=FALSE),0,VLOOKUP(L18,PointTable,M$3,TRUE)),0)</f>
        <v>525</v>
      </c>
      <c r="N18" s="23"/>
      <c r="O18" s="23"/>
      <c r="P18" s="23"/>
      <c r="Q18" s="24"/>
      <c r="S18" s="25">
        <f t="shared" si="4"/>
        <v>315</v>
      </c>
      <c r="T18" s="25">
        <f t="shared" si="2"/>
        <v>405</v>
      </c>
      <c r="U18" s="25">
        <f t="shared" si="3"/>
        <v>525</v>
      </c>
      <c r="V18" s="25">
        <f>IF(OR('Men''s Epée'!$A$3=1,N18&gt;0),ABS(N18),0)</f>
        <v>0</v>
      </c>
      <c r="W18" s="25">
        <f>IF(OR('Men''s Epée'!$A$3=1,O18&gt;0),ABS(O18),0)</f>
        <v>0</v>
      </c>
      <c r="X18" s="25">
        <f>IF(OR('Men''s Epée'!$A$3=1,P18&gt;0),ABS(P18),0)</f>
        <v>0</v>
      </c>
      <c r="Y18" s="25">
        <f>IF(OR('Men''s Epée'!$A$3=1,Q18&gt;0),ABS(Q18),0)</f>
        <v>0</v>
      </c>
      <c r="AA18" s="12">
        <f>IF('Men''s Epée'!$S$3=TRUE,I18,0)</f>
        <v>315</v>
      </c>
      <c r="AB18" s="12">
        <f>IF('Men''s Epée'!$T$3=TRUE,K18,0)</f>
        <v>405</v>
      </c>
      <c r="AC18" s="12">
        <f>IF('Men''s Epée'!$U$3=TRUE,M18,0)</f>
        <v>525</v>
      </c>
      <c r="AD18" s="26">
        <f t="shared" si="5"/>
        <v>0</v>
      </c>
      <c r="AE18" s="26">
        <f t="shared" si="5"/>
        <v>0</v>
      </c>
      <c r="AF18" s="26">
        <f t="shared" si="5"/>
        <v>0</v>
      </c>
      <c r="AG18" s="26">
        <f t="shared" si="5"/>
        <v>0</v>
      </c>
      <c r="AH18" s="12">
        <f t="shared" si="6"/>
        <v>930</v>
      </c>
    </row>
    <row r="19" spans="1:34" ht="13.5">
      <c r="A19" s="16" t="str">
        <f t="shared" si="0"/>
        <v>16T</v>
      </c>
      <c r="B19" s="16" t="str">
        <f t="shared" si="1"/>
        <v>#</v>
      </c>
      <c r="C19" s="17" t="s">
        <v>27</v>
      </c>
      <c r="D19" s="18">
        <v>1983</v>
      </c>
      <c r="E19" s="19">
        <f>ROUND(F19+IF('Men''s Epée'!$A$3=1,G19,0)+LARGE($S19:$Y19,1)+LARGE($S19:$Y19,2),0)</f>
        <v>915</v>
      </c>
      <c r="F19" s="20"/>
      <c r="G19" s="21"/>
      <c r="H19" s="21">
        <v>13</v>
      </c>
      <c r="I19" s="22">
        <f>IF(OR('Men''s Epée'!$A$3=1,'Men''s Epée'!$S$3=TRUE),IF(OR(H19&gt;=49,ISNUMBER(H19)=FALSE),0,VLOOKUP(H19,PointTable,I$3,TRUE)),0)</f>
        <v>525</v>
      </c>
      <c r="J19" s="21">
        <v>22</v>
      </c>
      <c r="K19" s="22">
        <f>IF(OR('Men''s Epée'!$A$3=1,'Men''s Epée'!$T$3=TRUE),IF(OR(J19&gt;=49,ISNUMBER(J19)=FALSE),0,VLOOKUP(J19,PointTable,K$3,TRUE)),0)</f>
        <v>390</v>
      </c>
      <c r="L19" s="21" t="s">
        <v>5</v>
      </c>
      <c r="M19" s="22">
        <f>IF(OR('Men''s Epée'!$A$3=1,'Men''s Epée'!$U$3=TRUE),IF(OR(L19&gt;=49,ISNUMBER(L19)=FALSE),0,VLOOKUP(L19,PointTable,M$3,TRUE)),0)</f>
        <v>0</v>
      </c>
      <c r="N19" s="23">
        <v>37.8</v>
      </c>
      <c r="O19" s="23"/>
      <c r="P19" s="23"/>
      <c r="Q19" s="24"/>
      <c r="S19" s="25">
        <f t="shared" si="4"/>
        <v>525</v>
      </c>
      <c r="T19" s="25">
        <f t="shared" si="2"/>
        <v>390</v>
      </c>
      <c r="U19" s="25">
        <f t="shared" si="3"/>
        <v>0</v>
      </c>
      <c r="V19" s="25">
        <f>IF(OR('Men''s Epée'!$A$3=1,N19&gt;0),ABS(N19),0)</f>
        <v>37.8</v>
      </c>
      <c r="W19" s="25">
        <f>IF(OR('Men''s Epée'!$A$3=1,O19&gt;0),ABS(O19),0)</f>
        <v>0</v>
      </c>
      <c r="X19" s="25">
        <f>IF(OR('Men''s Epée'!$A$3=1,P19&gt;0),ABS(P19),0)</f>
        <v>0</v>
      </c>
      <c r="Y19" s="25">
        <f>IF(OR('Men''s Epée'!$A$3=1,Q19&gt;0),ABS(Q19),0)</f>
        <v>0</v>
      </c>
      <c r="AA19" s="12">
        <f>IF('Men''s Epée'!$S$3=TRUE,I19,0)</f>
        <v>525</v>
      </c>
      <c r="AB19" s="12">
        <f>IF('Men''s Epée'!$T$3=TRUE,K19,0)</f>
        <v>390</v>
      </c>
      <c r="AC19" s="12">
        <f>IF('Men''s Epée'!$U$3=TRUE,M19,0)</f>
        <v>0</v>
      </c>
      <c r="AD19" s="26">
        <f t="shared" si="5"/>
        <v>37.8</v>
      </c>
      <c r="AE19" s="26">
        <f t="shared" si="5"/>
        <v>0</v>
      </c>
      <c r="AF19" s="26">
        <f t="shared" si="5"/>
        <v>0</v>
      </c>
      <c r="AG19" s="26">
        <f t="shared" si="5"/>
        <v>0</v>
      </c>
      <c r="AH19" s="12">
        <f t="shared" si="6"/>
        <v>915</v>
      </c>
    </row>
    <row r="20" spans="1:34" ht="13.5">
      <c r="A20" s="16" t="str">
        <f t="shared" si="0"/>
        <v>16T</v>
      </c>
      <c r="B20" s="16">
        <f t="shared" si="1"/>
      </c>
      <c r="C20" s="17" t="s">
        <v>338</v>
      </c>
      <c r="D20" s="18">
        <v>1982</v>
      </c>
      <c r="E20" s="19">
        <f>ROUND(F20+IF('Men''s Epée'!$A$3=1,G20,0)+LARGE($S20:$Y20,1)+LARGE($S20:$Y20,2),0)</f>
        <v>915</v>
      </c>
      <c r="F20" s="20"/>
      <c r="G20" s="21"/>
      <c r="H20" s="21" t="s">
        <v>5</v>
      </c>
      <c r="I20" s="22">
        <f>IF(OR('Men''s Epée'!$A$3=1,'Men''s Epée'!$S$3=TRUE),IF(OR(H20&gt;=49,ISNUMBER(H20)=FALSE),0,VLOOKUP(H20,PointTable,I$3,TRUE)),0)</f>
        <v>0</v>
      </c>
      <c r="J20" s="21">
        <v>21</v>
      </c>
      <c r="K20" s="22">
        <f>IF(OR('Men''s Epée'!$A$3=1,'Men''s Epée'!$T$3=TRUE),IF(OR(J20&gt;=49,ISNUMBER(J20)=FALSE),0,VLOOKUP(J20,PointTable,K$3,TRUE)),0)</f>
        <v>395</v>
      </c>
      <c r="L20" s="21">
        <v>12</v>
      </c>
      <c r="M20" s="22">
        <f>IF(OR('Men''s Epée'!$A$3=1,'Men''s Epée'!$U$3=TRUE),IF(OR(L20&gt;=49,ISNUMBER(L20)=FALSE),0,VLOOKUP(L20,PointTable,M$3,TRUE)),0)</f>
        <v>520</v>
      </c>
      <c r="N20" s="23"/>
      <c r="O20" s="23"/>
      <c r="P20" s="23"/>
      <c r="Q20" s="24"/>
      <c r="S20" s="25">
        <f t="shared" si="4"/>
        <v>0</v>
      </c>
      <c r="T20" s="25">
        <f t="shared" si="2"/>
        <v>395</v>
      </c>
      <c r="U20" s="25">
        <f t="shared" si="3"/>
        <v>520</v>
      </c>
      <c r="V20" s="25">
        <f>IF(OR('Men''s Epée'!$A$3=1,N20&gt;0),ABS(N20),0)</f>
        <v>0</v>
      </c>
      <c r="W20" s="25">
        <f>IF(OR('Men''s Epée'!$A$3=1,O20&gt;0),ABS(O20),0)</f>
        <v>0</v>
      </c>
      <c r="X20" s="25">
        <f>IF(OR('Men''s Epée'!$A$3=1,P20&gt;0),ABS(P20),0)</f>
        <v>0</v>
      </c>
      <c r="Y20" s="25">
        <f>IF(OR('Men''s Epée'!$A$3=1,Q20&gt;0),ABS(Q20),0)</f>
        <v>0</v>
      </c>
      <c r="AA20" s="12">
        <f>IF('Men''s Epée'!$S$3=TRUE,I20,0)</f>
        <v>0</v>
      </c>
      <c r="AB20" s="12">
        <f>IF('Men''s Epée'!$T$3=TRUE,K20,0)</f>
        <v>395</v>
      </c>
      <c r="AC20" s="12">
        <f>IF('Men''s Epée'!$U$3=TRUE,M20,0)</f>
        <v>520</v>
      </c>
      <c r="AD20" s="26">
        <f t="shared" si="5"/>
        <v>0</v>
      </c>
      <c r="AE20" s="26">
        <f t="shared" si="5"/>
        <v>0</v>
      </c>
      <c r="AF20" s="26">
        <f t="shared" si="5"/>
        <v>0</v>
      </c>
      <c r="AG20" s="26">
        <f t="shared" si="5"/>
        <v>0</v>
      </c>
      <c r="AH20" s="12">
        <f t="shared" si="6"/>
        <v>915</v>
      </c>
    </row>
    <row r="21" spans="1:35" ht="13.5">
      <c r="A21" s="16" t="str">
        <f t="shared" si="0"/>
        <v>16T</v>
      </c>
      <c r="B21" s="16" t="str">
        <f t="shared" si="1"/>
        <v>#</v>
      </c>
      <c r="C21" s="17" t="s">
        <v>340</v>
      </c>
      <c r="D21" s="18">
        <v>1983</v>
      </c>
      <c r="E21" s="19">
        <f>ROUND(F21+IF('Men''s Epée'!$A$3=1,G21,0)+LARGE($S21:$Y21,1)+LARGE($S21:$Y21,2),0)</f>
        <v>915</v>
      </c>
      <c r="F21" s="20"/>
      <c r="G21" s="21"/>
      <c r="H21" s="21">
        <v>10</v>
      </c>
      <c r="I21" s="22">
        <f>IF(OR('Men''s Epée'!$A$3=1,'Men''s Epée'!$S$3=TRUE),IF(OR(H21&gt;=49,ISNUMBER(H21)=FALSE),0,VLOOKUP(H21,PointTable,I$3,TRUE)),0)</f>
        <v>605</v>
      </c>
      <c r="J21" s="21">
        <v>26</v>
      </c>
      <c r="K21" s="22">
        <f>IF(OR('Men''s Epée'!$A$3=1,'Men''s Epée'!$T$3=TRUE),IF(OR(J21&gt;=49,ISNUMBER(J21)=FALSE),0,VLOOKUP(J21,PointTable,K$3,TRUE)),0)</f>
        <v>310</v>
      </c>
      <c r="L21" s="21" t="s">
        <v>5</v>
      </c>
      <c r="M21" s="22">
        <f>IF(OR('Men''s Epée'!$A$3=1,'Men''s Epée'!$U$3=TRUE),IF(OR(L21&gt;=49,ISNUMBER(L21)=FALSE),0,VLOOKUP(L21,PointTable,M$3,TRUE)),0)</f>
        <v>0</v>
      </c>
      <c r="N21" s="23"/>
      <c r="O21" s="23"/>
      <c r="P21" s="23"/>
      <c r="Q21" s="24"/>
      <c r="S21" s="25">
        <f t="shared" si="4"/>
        <v>605</v>
      </c>
      <c r="T21" s="25">
        <f t="shared" si="2"/>
        <v>310</v>
      </c>
      <c r="U21" s="25">
        <f t="shared" si="3"/>
        <v>0</v>
      </c>
      <c r="V21" s="25">
        <f>IF(OR('Men''s Epée'!$A$3=1,N21&gt;0),ABS(N21),0)</f>
        <v>0</v>
      </c>
      <c r="W21" s="25">
        <f>IF(OR('Men''s Epée'!$A$3=1,O21&gt;0),ABS(O21),0)</f>
        <v>0</v>
      </c>
      <c r="X21" s="25">
        <f>IF(OR('Men''s Epée'!$A$3=1,P21&gt;0),ABS(P21),0)</f>
        <v>0</v>
      </c>
      <c r="Y21" s="25">
        <f>IF(OR('Men''s Epée'!$A$3=1,Q21&gt;0),ABS(Q21),0)</f>
        <v>0</v>
      </c>
      <c r="AA21" s="12">
        <f>IF('Men''s Epée'!$S$3=TRUE,I21,0)</f>
        <v>605</v>
      </c>
      <c r="AB21" s="12">
        <f>IF('Men''s Epée'!$T$3=TRUE,K21,0)</f>
        <v>310</v>
      </c>
      <c r="AC21" s="12">
        <f>IF('Men''s Epée'!$U$3=TRUE,M21,0)</f>
        <v>0</v>
      </c>
      <c r="AD21" s="26">
        <f t="shared" si="5"/>
        <v>0</v>
      </c>
      <c r="AE21" s="26">
        <f t="shared" si="5"/>
        <v>0</v>
      </c>
      <c r="AF21" s="26">
        <f t="shared" si="5"/>
        <v>0</v>
      </c>
      <c r="AG21" s="26">
        <f t="shared" si="5"/>
        <v>0</v>
      </c>
      <c r="AH21" s="12">
        <f t="shared" si="6"/>
        <v>915</v>
      </c>
      <c r="AI21" s="41"/>
    </row>
    <row r="22" spans="1:34" ht="13.5">
      <c r="A22" s="16" t="str">
        <f t="shared" si="0"/>
        <v>19</v>
      </c>
      <c r="B22" s="16" t="str">
        <f t="shared" si="1"/>
        <v>#</v>
      </c>
      <c r="C22" s="17" t="s">
        <v>339</v>
      </c>
      <c r="D22" s="18">
        <v>1984</v>
      </c>
      <c r="E22" s="19">
        <f>ROUND(F22+IF('Men''s Epée'!$A$3=1,G22,0)+LARGE($S22:$Y22,1)+LARGE($S22:$Y22,2),0)</f>
        <v>910</v>
      </c>
      <c r="F22" s="20"/>
      <c r="G22" s="21"/>
      <c r="H22" s="21" t="s">
        <v>5</v>
      </c>
      <c r="I22" s="22">
        <f>IF(OR('Men''s Epée'!$A$3=1,'Men''s Epée'!$S$3=TRUE),IF(OR(H22&gt;=49,ISNUMBER(H22)=FALSE),0,VLOOKUP(H22,PointTable,I$3,TRUE)),0)</f>
        <v>0</v>
      </c>
      <c r="J22" s="21">
        <v>24</v>
      </c>
      <c r="K22" s="22">
        <f>IF(OR('Men''s Epée'!$A$3=1,'Men''s Epée'!$T$3=TRUE),IF(OR(J22&gt;=49,ISNUMBER(J22)=FALSE),0,VLOOKUP(J22,PointTable,K$3,TRUE)),0)</f>
        <v>380</v>
      </c>
      <c r="L22" s="21">
        <v>10</v>
      </c>
      <c r="M22" s="22">
        <f>IF(OR('Men''s Epée'!$A$3=1,'Men''s Epée'!$U$3=TRUE),IF(OR(L22&gt;=49,ISNUMBER(L22)=FALSE),0,VLOOKUP(L22,PointTable,M$3,TRUE)),0)</f>
        <v>530</v>
      </c>
      <c r="N22" s="23"/>
      <c r="O22" s="23"/>
      <c r="P22" s="23"/>
      <c r="Q22" s="24"/>
      <c r="S22" s="25">
        <f t="shared" si="4"/>
        <v>0</v>
      </c>
      <c r="T22" s="25">
        <f t="shared" si="2"/>
        <v>380</v>
      </c>
      <c r="U22" s="25">
        <f t="shared" si="3"/>
        <v>530</v>
      </c>
      <c r="V22" s="25">
        <f>IF(OR('Men''s Epée'!$A$3=1,N22&gt;0),ABS(N22),0)</f>
        <v>0</v>
      </c>
      <c r="W22" s="25">
        <f>IF(OR('Men''s Epée'!$A$3=1,O22&gt;0),ABS(O22),0)</f>
        <v>0</v>
      </c>
      <c r="X22" s="25">
        <f>IF(OR('Men''s Epée'!$A$3=1,P22&gt;0),ABS(P22),0)</f>
        <v>0</v>
      </c>
      <c r="Y22" s="25">
        <f>IF(OR('Men''s Epée'!$A$3=1,Q22&gt;0),ABS(Q22),0)</f>
        <v>0</v>
      </c>
      <c r="AA22" s="12">
        <f>IF('Men''s Epée'!$S$3=TRUE,I22,0)</f>
        <v>0</v>
      </c>
      <c r="AB22" s="12">
        <f>IF('Men''s Epée'!$T$3=TRUE,K22,0)</f>
        <v>380</v>
      </c>
      <c r="AC22" s="12">
        <f>IF('Men''s Epée'!$U$3=TRUE,M22,0)</f>
        <v>530</v>
      </c>
      <c r="AD22" s="26">
        <f t="shared" si="5"/>
        <v>0</v>
      </c>
      <c r="AE22" s="26">
        <f t="shared" si="5"/>
        <v>0</v>
      </c>
      <c r="AF22" s="26">
        <f t="shared" si="5"/>
        <v>0</v>
      </c>
      <c r="AG22" s="26">
        <f t="shared" si="5"/>
        <v>0</v>
      </c>
      <c r="AH22" s="12">
        <f t="shared" si="6"/>
        <v>910</v>
      </c>
    </row>
    <row r="23" spans="1:34" ht="13.5">
      <c r="A23" s="16" t="str">
        <f t="shared" si="0"/>
        <v>20</v>
      </c>
      <c r="B23" s="16">
        <f t="shared" si="1"/>
      </c>
      <c r="C23" s="17" t="s">
        <v>253</v>
      </c>
      <c r="D23" s="18">
        <v>1975</v>
      </c>
      <c r="E23" s="19">
        <f>ROUND(F23+IF('Men''s Epée'!$A$3=1,G23,0)+LARGE($S23:$Y23,1)+LARGE($S23:$Y23,2),0)</f>
        <v>815</v>
      </c>
      <c r="F23" s="20"/>
      <c r="G23" s="21"/>
      <c r="H23" s="21">
        <v>28</v>
      </c>
      <c r="I23" s="22">
        <f>IF(OR('Men''s Epée'!$A$3=1,'Men''s Epée'!$S$3=TRUE),IF(OR(H23&gt;=49,ISNUMBER(H23)=FALSE),0,VLOOKUP(H23,PointTable,I$3,TRUE)),0)</f>
        <v>300</v>
      </c>
      <c r="J23" s="21" t="s">
        <v>5</v>
      </c>
      <c r="K23" s="22">
        <f>IF(OR('Men''s Epée'!$A$3=1,'Men''s Epée'!$T$3=TRUE),IF(OR(J23&gt;=49,ISNUMBER(J23)=FALSE),0,VLOOKUP(J23,PointTable,K$3,TRUE)),0)</f>
        <v>0</v>
      </c>
      <c r="L23" s="21">
        <v>13</v>
      </c>
      <c r="M23" s="22">
        <f>IF(OR('Men''s Epée'!$A$3=1,'Men''s Epée'!$U$3=TRUE),IF(OR(L23&gt;=49,ISNUMBER(L23)=FALSE),0,VLOOKUP(L23,PointTable,M$3,TRUE)),0)</f>
        <v>515</v>
      </c>
      <c r="N23" s="23"/>
      <c r="O23" s="23"/>
      <c r="P23" s="23"/>
      <c r="Q23" s="24"/>
      <c r="S23" s="25">
        <f>I23</f>
        <v>300</v>
      </c>
      <c r="T23" s="25">
        <f>K23</f>
        <v>0</v>
      </c>
      <c r="U23" s="25">
        <f>M23</f>
        <v>515</v>
      </c>
      <c r="V23" s="25">
        <f>IF(OR('Men''s Epée'!$A$3=1,N23&gt;0),ABS(N23),0)</f>
        <v>0</v>
      </c>
      <c r="W23" s="25">
        <f>IF(OR('Men''s Epée'!$A$3=1,O23&gt;0),ABS(O23),0)</f>
        <v>0</v>
      </c>
      <c r="X23" s="25">
        <f>IF(OR('Men''s Epée'!$A$3=1,P23&gt;0),ABS(P23),0)</f>
        <v>0</v>
      </c>
      <c r="Y23" s="25">
        <f>IF(OR('Men''s Epée'!$A$3=1,Q23&gt;0),ABS(Q23),0)</f>
        <v>0</v>
      </c>
      <c r="AA23" s="12">
        <f>IF('Men''s Epée'!$S$3=TRUE,I23,0)</f>
        <v>300</v>
      </c>
      <c r="AB23" s="12">
        <f>IF('Men''s Epée'!$T$3=TRUE,K23,0)</f>
        <v>0</v>
      </c>
      <c r="AC23" s="12">
        <f>IF('Men''s Epée'!$U$3=TRUE,M23,0)</f>
        <v>515</v>
      </c>
      <c r="AD23" s="26">
        <f aca="true" t="shared" si="7" ref="AD23:AG25">MAX(N23,0)</f>
        <v>0</v>
      </c>
      <c r="AE23" s="26">
        <f t="shared" si="7"/>
        <v>0</v>
      </c>
      <c r="AF23" s="26">
        <f t="shared" si="7"/>
        <v>0</v>
      </c>
      <c r="AG23" s="26">
        <f t="shared" si="7"/>
        <v>0</v>
      </c>
      <c r="AH23" s="12">
        <f t="shared" si="6"/>
        <v>815</v>
      </c>
    </row>
    <row r="24" spans="1:34" ht="13.5">
      <c r="A24" s="16" t="str">
        <f t="shared" si="0"/>
        <v>21</v>
      </c>
      <c r="B24" s="16">
        <f t="shared" si="1"/>
      </c>
      <c r="C24" s="17" t="s">
        <v>31</v>
      </c>
      <c r="D24" s="18">
        <v>1981</v>
      </c>
      <c r="E24" s="19">
        <f>ROUND(F24+IF('Men''s Epée'!$A$3=1,G24,0)+LARGE($S24:$Y24,1)+LARGE($S24:$Y24,2),0)</f>
        <v>770</v>
      </c>
      <c r="F24" s="20"/>
      <c r="G24" s="21"/>
      <c r="H24" s="21">
        <v>23</v>
      </c>
      <c r="I24" s="22">
        <f>IF(OR('Men''s Epée'!$A$3=1,'Men''s Epée'!$S$3=TRUE),IF(OR(H24&gt;=49,ISNUMBER(H24)=FALSE),0,VLOOKUP(H24,PointTable,I$3,TRUE)),0)</f>
        <v>385</v>
      </c>
      <c r="J24" s="21">
        <v>23</v>
      </c>
      <c r="K24" s="22">
        <f>IF(OR('Men''s Epée'!$A$3=1,'Men''s Epée'!$T$3=TRUE),IF(OR(J24&gt;=49,ISNUMBER(J24)=FALSE),0,VLOOKUP(J24,PointTable,K$3,TRUE)),0)</f>
        <v>385</v>
      </c>
      <c r="L24" s="21">
        <v>26</v>
      </c>
      <c r="M24" s="22">
        <f>IF(OR('Men''s Epée'!$A$3=1,'Men''s Epée'!$U$3=TRUE),IF(OR(L24&gt;=49,ISNUMBER(L24)=FALSE),0,VLOOKUP(L24,PointTable,M$3,TRUE)),0)</f>
        <v>305</v>
      </c>
      <c r="N24" s="23"/>
      <c r="O24" s="23"/>
      <c r="P24" s="23"/>
      <c r="Q24" s="24"/>
      <c r="S24" s="25">
        <f>I24</f>
        <v>385</v>
      </c>
      <c r="T24" s="25">
        <f>K24</f>
        <v>385</v>
      </c>
      <c r="U24" s="25">
        <f>M24</f>
        <v>305</v>
      </c>
      <c r="V24" s="25">
        <f>IF(OR('Men''s Epée'!$A$3=1,N24&gt;0),ABS(N24),0)</f>
        <v>0</v>
      </c>
      <c r="W24" s="25">
        <f>IF(OR('Men''s Epée'!$A$3=1,O24&gt;0),ABS(O24),0)</f>
        <v>0</v>
      </c>
      <c r="X24" s="25">
        <f>IF(OR('Men''s Epée'!$A$3=1,P24&gt;0),ABS(P24),0)</f>
        <v>0</v>
      </c>
      <c r="Y24" s="25">
        <f>IF(OR('Men''s Epée'!$A$3=1,Q24&gt;0),ABS(Q24),0)</f>
        <v>0</v>
      </c>
      <c r="AA24" s="12">
        <f>IF('Men''s Epée'!$S$3=TRUE,I24,0)</f>
        <v>385</v>
      </c>
      <c r="AB24" s="12">
        <f>IF('Men''s Epée'!$T$3=TRUE,K24,0)</f>
        <v>385</v>
      </c>
      <c r="AC24" s="12">
        <f>IF('Men''s Epée'!$U$3=TRUE,M24,0)</f>
        <v>305</v>
      </c>
      <c r="AD24" s="26">
        <f t="shared" si="7"/>
        <v>0</v>
      </c>
      <c r="AE24" s="26">
        <f t="shared" si="7"/>
        <v>0</v>
      </c>
      <c r="AF24" s="26">
        <f t="shared" si="7"/>
        <v>0</v>
      </c>
      <c r="AG24" s="26">
        <f t="shared" si="7"/>
        <v>0</v>
      </c>
      <c r="AH24" s="12">
        <f t="shared" si="6"/>
        <v>770</v>
      </c>
    </row>
    <row r="25" spans="1:34" ht="13.5">
      <c r="A25" s="16" t="str">
        <f t="shared" si="0"/>
        <v>22</v>
      </c>
      <c r="B25" s="16">
        <f t="shared" si="1"/>
      </c>
      <c r="C25" s="17" t="s">
        <v>143</v>
      </c>
      <c r="D25" s="18">
        <v>1973</v>
      </c>
      <c r="E25" s="19">
        <f>ROUND(F25+IF('Men''s Epée'!$A$3=1,G25,0)+LARGE($S25:$Y25,1)+LARGE($S25:$Y25,2),0)</f>
        <v>725</v>
      </c>
      <c r="F25" s="20"/>
      <c r="G25" s="21"/>
      <c r="H25" s="21">
        <v>39</v>
      </c>
      <c r="I25" s="22">
        <f>IF(OR('Men''s Epée'!$A$3=1,'Men''s Epée'!$S$3=TRUE),IF(OR(H25&gt;=49,ISNUMBER(H25)=FALSE),0,VLOOKUP(H25,PointTable,I$3,TRUE)),0)</f>
        <v>245</v>
      </c>
      <c r="J25" s="21">
        <v>16</v>
      </c>
      <c r="K25" s="22">
        <f>IF(OR('Men''s Epée'!$A$3=1,'Men''s Epée'!$T$3=TRUE),IF(OR(J25&gt;=49,ISNUMBER(J25)=FALSE),0,VLOOKUP(J25,PointTable,K$3,TRUE)),0)</f>
        <v>480</v>
      </c>
      <c r="L25" s="21" t="s">
        <v>5</v>
      </c>
      <c r="M25" s="22">
        <f>IF(OR('Men''s Epée'!$A$3=1,'Men''s Epée'!$U$3=TRUE),IF(OR(L25&gt;=49,ISNUMBER(L25)=FALSE),0,VLOOKUP(L25,PointTable,M$3,TRUE)),0)</f>
        <v>0</v>
      </c>
      <c r="N25" s="23"/>
      <c r="O25" s="23"/>
      <c r="P25" s="23"/>
      <c r="Q25" s="24"/>
      <c r="S25" s="25">
        <f>I25</f>
        <v>245</v>
      </c>
      <c r="T25" s="25">
        <f>K25</f>
        <v>480</v>
      </c>
      <c r="U25" s="25">
        <f>M25</f>
        <v>0</v>
      </c>
      <c r="V25" s="25">
        <f>IF(OR('Men''s Epée'!$A$3=1,N25&gt;0),ABS(N25),0)</f>
        <v>0</v>
      </c>
      <c r="W25" s="25">
        <f>IF(OR('Men''s Epée'!$A$3=1,O25&gt;0),ABS(O25),0)</f>
        <v>0</v>
      </c>
      <c r="X25" s="25">
        <f>IF(OR('Men''s Epée'!$A$3=1,P25&gt;0),ABS(P25),0)</f>
        <v>0</v>
      </c>
      <c r="Y25" s="25">
        <f>IF(OR('Men''s Epée'!$A$3=1,Q25&gt;0),ABS(Q25),0)</f>
        <v>0</v>
      </c>
      <c r="AA25" s="12">
        <f>IF('Men''s Epée'!$S$3=TRUE,I25,0)</f>
        <v>245</v>
      </c>
      <c r="AB25" s="12">
        <f>IF('Men''s Epée'!$T$3=TRUE,K25,0)</f>
        <v>480</v>
      </c>
      <c r="AC25" s="12">
        <f>IF('Men''s Epée'!$U$3=TRUE,M25,0)</f>
        <v>0</v>
      </c>
      <c r="AD25" s="26">
        <f t="shared" si="7"/>
        <v>0</v>
      </c>
      <c r="AE25" s="26">
        <f t="shared" si="7"/>
        <v>0</v>
      </c>
      <c r="AF25" s="26">
        <f t="shared" si="7"/>
        <v>0</v>
      </c>
      <c r="AG25" s="26">
        <f t="shared" si="7"/>
        <v>0</v>
      </c>
      <c r="AH25" s="12">
        <f t="shared" si="6"/>
        <v>725</v>
      </c>
    </row>
    <row r="26" spans="1:34" ht="13.5">
      <c r="A26" s="16" t="str">
        <f t="shared" si="0"/>
        <v>23</v>
      </c>
      <c r="B26" s="16" t="str">
        <f t="shared" si="1"/>
        <v>#</v>
      </c>
      <c r="C26" s="17" t="s">
        <v>230</v>
      </c>
      <c r="D26" s="18">
        <v>1985</v>
      </c>
      <c r="E26" s="19">
        <f>ROUND(F26+IF('Men''s Epée'!$A$3=1,G26,0)+LARGE($S26:$Y26,1)+LARGE($S26:$Y26,2),0)</f>
        <v>713</v>
      </c>
      <c r="F26" s="20"/>
      <c r="G26" s="21"/>
      <c r="H26" s="21">
        <v>48</v>
      </c>
      <c r="I26" s="22">
        <f>IF(OR('Men''s Epée'!$A$3=1,'Men''s Epée'!$S$3=TRUE),IF(OR(H26&gt;=49,ISNUMBER(H26)=FALSE),0,VLOOKUP(H26,PointTable,I$3,TRUE)),0)</f>
        <v>200</v>
      </c>
      <c r="J26" s="21">
        <v>46.5</v>
      </c>
      <c r="K26" s="22">
        <f>IF(OR('Men''s Epée'!$A$3=1,'Men''s Epée'!$T$3=TRUE),IF(OR(J26&gt;=49,ISNUMBER(J26)=FALSE),0,VLOOKUP(J26,PointTable,K$3,TRUE)),0)</f>
        <v>207.5</v>
      </c>
      <c r="L26" s="21">
        <v>15</v>
      </c>
      <c r="M26" s="22">
        <f>IF(OR('Men''s Epée'!$A$3=1,'Men''s Epée'!$U$3=TRUE),IF(OR(L26&gt;=49,ISNUMBER(L26)=FALSE),0,VLOOKUP(L26,PointTable,M$3,TRUE)),0)</f>
        <v>505</v>
      </c>
      <c r="N26" s="23"/>
      <c r="O26" s="23"/>
      <c r="P26" s="23"/>
      <c r="Q26" s="24"/>
      <c r="S26" s="25">
        <f aca="true" t="shared" si="8" ref="S26:S35">I26</f>
        <v>200</v>
      </c>
      <c r="T26" s="25">
        <f aca="true" t="shared" si="9" ref="T26:T35">K26</f>
        <v>207.5</v>
      </c>
      <c r="U26" s="25">
        <f aca="true" t="shared" si="10" ref="U26:U35">M26</f>
        <v>505</v>
      </c>
      <c r="V26" s="25">
        <f>IF(OR('Men''s Epée'!$A$3=1,N26&gt;0),ABS(N26),0)</f>
        <v>0</v>
      </c>
      <c r="W26" s="25">
        <f>IF(OR('Men''s Epée'!$A$3=1,O26&gt;0),ABS(O26),0)</f>
        <v>0</v>
      </c>
      <c r="X26" s="25">
        <f>IF(OR('Men''s Epée'!$A$3=1,P26&gt;0),ABS(P26),0)</f>
        <v>0</v>
      </c>
      <c r="Y26" s="25">
        <f>IF(OR('Men''s Epée'!$A$3=1,Q26&gt;0),ABS(Q26),0)</f>
        <v>0</v>
      </c>
      <c r="AA26" s="12">
        <f>IF('Men''s Epée'!$S$3=TRUE,I26,0)</f>
        <v>200</v>
      </c>
      <c r="AB26" s="12">
        <f>IF('Men''s Epée'!$T$3=TRUE,K26,0)</f>
        <v>207.5</v>
      </c>
      <c r="AC26" s="12">
        <f>IF('Men''s Epée'!$U$3=TRUE,M26,0)</f>
        <v>505</v>
      </c>
      <c r="AD26" s="26">
        <f aca="true" t="shared" si="11" ref="AD26:AD35">MAX(N26,0)</f>
        <v>0</v>
      </c>
      <c r="AE26" s="26">
        <f aca="true" t="shared" si="12" ref="AE26:AE35">MAX(O26,0)</f>
        <v>0</v>
      </c>
      <c r="AF26" s="26">
        <f aca="true" t="shared" si="13" ref="AF26:AF35">MAX(P26,0)</f>
        <v>0</v>
      </c>
      <c r="AG26" s="26">
        <f aca="true" t="shared" si="14" ref="AG26:AG35">MAX(Q26,0)</f>
        <v>0</v>
      </c>
      <c r="AH26" s="12">
        <f t="shared" si="6"/>
        <v>713</v>
      </c>
    </row>
    <row r="27" spans="1:34" ht="13.5">
      <c r="A27" s="16" t="str">
        <f t="shared" si="0"/>
        <v>24</v>
      </c>
      <c r="B27" s="16">
        <f t="shared" si="1"/>
      </c>
      <c r="C27" s="38" t="s">
        <v>109</v>
      </c>
      <c r="D27" s="36">
        <v>1978</v>
      </c>
      <c r="E27" s="19">
        <f>ROUND(F27+IF('Men''s Epée'!$A$3=1,G27,0)+LARGE($S27:$Y27,1)+LARGE($S27:$Y27,2),0)</f>
        <v>705</v>
      </c>
      <c r="F27" s="20"/>
      <c r="G27" s="21"/>
      <c r="H27" s="21">
        <v>43.5</v>
      </c>
      <c r="I27" s="22">
        <f>IF(OR('Men''s Epée'!$A$3=1,'Men''s Epée'!$S$3=TRUE),IF(OR(H27&gt;=49,ISNUMBER(H27)=FALSE),0,VLOOKUP(H27,PointTable,I$3,TRUE)),0)</f>
        <v>222.5</v>
      </c>
      <c r="J27" s="21">
        <v>18</v>
      </c>
      <c r="K27" s="22">
        <f>IF(OR('Men''s Epée'!$A$3=1,'Men''s Epée'!$T$3=TRUE),IF(OR(J27&gt;=49,ISNUMBER(J27)=FALSE),0,VLOOKUP(J27,PointTable,K$3,TRUE)),0)</f>
        <v>410</v>
      </c>
      <c r="L27" s="21">
        <v>28</v>
      </c>
      <c r="M27" s="22">
        <f>IF(OR('Men''s Epée'!$A$3=1,'Men''s Epée'!$U$3=TRUE),IF(OR(L27&gt;=49,ISNUMBER(L27)=FALSE),0,VLOOKUP(L27,PointTable,M$3,TRUE)),0)</f>
        <v>295</v>
      </c>
      <c r="N27" s="23"/>
      <c r="O27" s="23"/>
      <c r="P27" s="23"/>
      <c r="Q27" s="24"/>
      <c r="S27" s="25">
        <f t="shared" si="8"/>
        <v>222.5</v>
      </c>
      <c r="T27" s="25">
        <f t="shared" si="9"/>
        <v>410</v>
      </c>
      <c r="U27" s="25">
        <f t="shared" si="10"/>
        <v>295</v>
      </c>
      <c r="V27" s="25">
        <f>IF(OR('Men''s Epée'!$A$3=1,N27&gt;0),ABS(N27),0)</f>
        <v>0</v>
      </c>
      <c r="W27" s="25">
        <f>IF(OR('Men''s Epée'!$A$3=1,O27&gt;0),ABS(O27),0)</f>
        <v>0</v>
      </c>
      <c r="X27" s="25">
        <f>IF(OR('Men''s Epée'!$A$3=1,P27&gt;0),ABS(P27),0)</f>
        <v>0</v>
      </c>
      <c r="Y27" s="25">
        <f>IF(OR('Men''s Epée'!$A$3=1,Q27&gt;0),ABS(Q27),0)</f>
        <v>0</v>
      </c>
      <c r="AA27" s="12">
        <f>IF('Men''s Epée'!$S$3=TRUE,I27,0)</f>
        <v>222.5</v>
      </c>
      <c r="AB27" s="12">
        <f>IF('Men''s Epée'!$T$3=TRUE,K27,0)</f>
        <v>410</v>
      </c>
      <c r="AC27" s="12">
        <f>IF('Men''s Epée'!$U$3=TRUE,M27,0)</f>
        <v>295</v>
      </c>
      <c r="AD27" s="26">
        <f t="shared" si="11"/>
        <v>0</v>
      </c>
      <c r="AE27" s="26">
        <f t="shared" si="12"/>
        <v>0</v>
      </c>
      <c r="AF27" s="26">
        <f t="shared" si="13"/>
        <v>0</v>
      </c>
      <c r="AG27" s="26">
        <f t="shared" si="14"/>
        <v>0</v>
      </c>
      <c r="AH27" s="12">
        <f t="shared" si="6"/>
        <v>705</v>
      </c>
    </row>
    <row r="28" spans="1:34" ht="13.5">
      <c r="A28" s="16" t="str">
        <f t="shared" si="0"/>
        <v>25</v>
      </c>
      <c r="B28" s="16">
        <f t="shared" si="1"/>
      </c>
      <c r="C28" s="17" t="s">
        <v>214</v>
      </c>
      <c r="D28" s="18">
        <v>1978</v>
      </c>
      <c r="E28" s="19">
        <f>ROUND(F28+IF('Men''s Epée'!$A$3=1,G28,0)+LARGE($S28:$Y28,1)+LARGE($S28:$Y28,2),0)</f>
        <v>655</v>
      </c>
      <c r="F28" s="20"/>
      <c r="G28" s="21"/>
      <c r="H28" s="21">
        <v>20</v>
      </c>
      <c r="I28" s="22">
        <f>IF(OR('Men''s Epée'!$A$3=1,'Men''s Epée'!$S$3=TRUE),IF(OR(H28&gt;=49,ISNUMBER(H28)=FALSE),0,VLOOKUP(H28,PointTable,I$3,TRUE)),0)</f>
        <v>400</v>
      </c>
      <c r="J28" s="21">
        <v>37</v>
      </c>
      <c r="K28" s="22">
        <f>IF(OR('Men''s Epée'!$A$3=1,'Men''s Epée'!$T$3=TRUE),IF(OR(J28&gt;=49,ISNUMBER(J28)=FALSE),0,VLOOKUP(J28,PointTable,K$3,TRUE)),0)</f>
        <v>255</v>
      </c>
      <c r="L28" s="21" t="s">
        <v>5</v>
      </c>
      <c r="M28" s="22">
        <f>IF(OR('Men''s Epée'!$A$3=1,'Men''s Epée'!$U$3=TRUE),IF(OR(L28&gt;=49,ISNUMBER(L28)=FALSE),0,VLOOKUP(L28,PointTable,M$3,TRUE)),0)</f>
        <v>0</v>
      </c>
      <c r="N28" s="23"/>
      <c r="O28" s="23"/>
      <c r="P28" s="23"/>
      <c r="Q28" s="24"/>
      <c r="S28" s="25">
        <f t="shared" si="8"/>
        <v>400</v>
      </c>
      <c r="T28" s="25">
        <f t="shared" si="9"/>
        <v>255</v>
      </c>
      <c r="U28" s="25">
        <f t="shared" si="10"/>
        <v>0</v>
      </c>
      <c r="V28" s="25">
        <f>IF(OR('Men''s Epée'!$A$3=1,N28&gt;0),ABS(N28),0)</f>
        <v>0</v>
      </c>
      <c r="W28" s="25">
        <f>IF(OR('Men''s Epée'!$A$3=1,O28&gt;0),ABS(O28),0)</f>
        <v>0</v>
      </c>
      <c r="X28" s="25">
        <f>IF(OR('Men''s Epée'!$A$3=1,P28&gt;0),ABS(P28),0)</f>
        <v>0</v>
      </c>
      <c r="Y28" s="25">
        <f>IF(OR('Men''s Epée'!$A$3=1,Q28&gt;0),ABS(Q28),0)</f>
        <v>0</v>
      </c>
      <c r="AA28" s="12">
        <f>IF('Men''s Epée'!$S$3=TRUE,I28,0)</f>
        <v>400</v>
      </c>
      <c r="AB28" s="12">
        <f>IF('Men''s Epée'!$T$3=TRUE,K28,0)</f>
        <v>255</v>
      </c>
      <c r="AC28" s="12">
        <f>IF('Men''s Epée'!$U$3=TRUE,M28,0)</f>
        <v>0</v>
      </c>
      <c r="AD28" s="26">
        <f t="shared" si="11"/>
        <v>0</v>
      </c>
      <c r="AE28" s="26">
        <f t="shared" si="12"/>
        <v>0</v>
      </c>
      <c r="AF28" s="26">
        <f t="shared" si="13"/>
        <v>0</v>
      </c>
      <c r="AG28" s="26">
        <f t="shared" si="14"/>
        <v>0</v>
      </c>
      <c r="AH28" s="12">
        <f t="shared" si="6"/>
        <v>655</v>
      </c>
    </row>
    <row r="29" spans="1:34" ht="13.5">
      <c r="A29" s="16" t="str">
        <f t="shared" si="0"/>
        <v>26</v>
      </c>
      <c r="B29" s="16">
        <f t="shared" si="1"/>
      </c>
      <c r="C29" s="17" t="s">
        <v>156</v>
      </c>
      <c r="D29" s="18">
        <v>1981</v>
      </c>
      <c r="E29" s="19">
        <f>ROUND(F29+IF('Men''s Epée'!$A$3=1,G29,0)+LARGE($S29:$Y29,1)+LARGE($S29:$Y29,2),0)</f>
        <v>630</v>
      </c>
      <c r="F29" s="20"/>
      <c r="G29" s="21"/>
      <c r="H29" s="21">
        <v>24</v>
      </c>
      <c r="I29" s="22">
        <f>IF(OR('Men''s Epée'!$A$3=1,'Men''s Epée'!$S$3=TRUE),IF(OR(H29&gt;=49,ISNUMBER(H29)=FALSE),0,VLOOKUP(H29,PointTable,I$3,TRUE)),0)</f>
        <v>380</v>
      </c>
      <c r="J29" s="21">
        <v>38</v>
      </c>
      <c r="K29" s="22">
        <f>IF(OR('Men''s Epée'!$A$3=1,'Men''s Epée'!$T$3=TRUE),IF(OR(J29&gt;=49,ISNUMBER(J29)=FALSE),0,VLOOKUP(J29,PointTable,K$3,TRUE)),0)</f>
        <v>250</v>
      </c>
      <c r="L29" s="21" t="s">
        <v>5</v>
      </c>
      <c r="M29" s="22">
        <f>IF(OR('Men''s Epée'!$A$3=1,'Men''s Epée'!$U$3=TRUE),IF(OR(L29&gt;=49,ISNUMBER(L29)=FALSE),0,VLOOKUP(L29,PointTable,M$3,TRUE)),0)</f>
        <v>0</v>
      </c>
      <c r="N29" s="23"/>
      <c r="O29" s="23"/>
      <c r="P29" s="23"/>
      <c r="Q29" s="24"/>
      <c r="S29" s="25">
        <f t="shared" si="8"/>
        <v>380</v>
      </c>
      <c r="T29" s="25">
        <f t="shared" si="9"/>
        <v>250</v>
      </c>
      <c r="U29" s="25">
        <f t="shared" si="10"/>
        <v>0</v>
      </c>
      <c r="V29" s="25">
        <f>IF(OR('Men''s Epée'!$A$3=1,N29&gt;0),ABS(N29),0)</f>
        <v>0</v>
      </c>
      <c r="W29" s="25">
        <f>IF(OR('Men''s Epée'!$A$3=1,O29&gt;0),ABS(O29),0)</f>
        <v>0</v>
      </c>
      <c r="X29" s="25">
        <f>IF(OR('Men''s Epée'!$A$3=1,P29&gt;0),ABS(P29),0)</f>
        <v>0</v>
      </c>
      <c r="Y29" s="25">
        <f>IF(OR('Men''s Epée'!$A$3=1,Q29&gt;0),ABS(Q29),0)</f>
        <v>0</v>
      </c>
      <c r="AA29" s="12">
        <f>IF('Men''s Epée'!$S$3=TRUE,I29,0)</f>
        <v>380</v>
      </c>
      <c r="AB29" s="12">
        <f>IF('Men''s Epée'!$T$3=TRUE,K29,0)</f>
        <v>250</v>
      </c>
      <c r="AC29" s="12">
        <f>IF('Men''s Epée'!$U$3=TRUE,M29,0)</f>
        <v>0</v>
      </c>
      <c r="AD29" s="26">
        <f t="shared" si="11"/>
        <v>0</v>
      </c>
      <c r="AE29" s="26">
        <f t="shared" si="12"/>
        <v>0</v>
      </c>
      <c r="AF29" s="26">
        <f t="shared" si="13"/>
        <v>0</v>
      </c>
      <c r="AG29" s="26">
        <f t="shared" si="14"/>
        <v>0</v>
      </c>
      <c r="AH29" s="12">
        <f t="shared" si="6"/>
        <v>630</v>
      </c>
    </row>
    <row r="30" spans="1:34" ht="13.5">
      <c r="A30" s="16" t="str">
        <f t="shared" si="0"/>
        <v>27</v>
      </c>
      <c r="B30" s="16">
        <f t="shared" si="1"/>
      </c>
      <c r="C30" s="17" t="s">
        <v>182</v>
      </c>
      <c r="D30" s="18">
        <v>1964</v>
      </c>
      <c r="E30" s="19">
        <f>ROUND(F30+IF('Men''s Epée'!$A$3=1,G30,0)+LARGE($S30:$Y30,1)+LARGE($S30:$Y30,2),0)</f>
        <v>608</v>
      </c>
      <c r="F30" s="20"/>
      <c r="G30" s="21"/>
      <c r="H30" s="21">
        <v>32.5</v>
      </c>
      <c r="I30" s="22">
        <f>IF(OR('Men''s Epée'!$A$3=1,'Men''s Epée'!$S$3=TRUE),IF(OR(H30&gt;=49,ISNUMBER(H30)=FALSE),0,VLOOKUP(H30,PointTable,I$3,TRUE)),0)</f>
        <v>277.5</v>
      </c>
      <c r="J30" s="21">
        <v>36</v>
      </c>
      <c r="K30" s="22">
        <f>IF(OR('Men''s Epée'!$A$3=1,'Men''s Epée'!$T$3=TRUE),IF(OR(J30&gt;=49,ISNUMBER(J30)=FALSE),0,VLOOKUP(J30,PointTable,K$3,TRUE)),0)</f>
        <v>260</v>
      </c>
      <c r="L30" s="21">
        <v>21</v>
      </c>
      <c r="M30" s="22">
        <f>IF(OR('Men''s Epée'!$A$3=1,'Men''s Epée'!$U$3=TRUE),IF(OR(L30&gt;=49,ISNUMBER(L30)=FALSE),0,VLOOKUP(L30,PointTable,M$3,TRUE)),0)</f>
        <v>330</v>
      </c>
      <c r="N30" s="23"/>
      <c r="O30" s="23"/>
      <c r="P30" s="23"/>
      <c r="Q30" s="24"/>
      <c r="S30" s="25">
        <f t="shared" si="8"/>
        <v>277.5</v>
      </c>
      <c r="T30" s="25">
        <f t="shared" si="9"/>
        <v>260</v>
      </c>
      <c r="U30" s="25">
        <f t="shared" si="10"/>
        <v>330</v>
      </c>
      <c r="V30" s="25">
        <f>IF(OR('Men''s Epée'!$A$3=1,N30&gt;0),ABS(N30),0)</f>
        <v>0</v>
      </c>
      <c r="W30" s="25">
        <f>IF(OR('Men''s Epée'!$A$3=1,O30&gt;0),ABS(O30),0)</f>
        <v>0</v>
      </c>
      <c r="X30" s="25">
        <f>IF(OR('Men''s Epée'!$A$3=1,P30&gt;0),ABS(P30),0)</f>
        <v>0</v>
      </c>
      <c r="Y30" s="25">
        <f>IF(OR('Men''s Epée'!$A$3=1,Q30&gt;0),ABS(Q30),0)</f>
        <v>0</v>
      </c>
      <c r="AA30" s="12">
        <f>IF('Men''s Epée'!$S$3=TRUE,I30,0)</f>
        <v>277.5</v>
      </c>
      <c r="AB30" s="12">
        <f>IF('Men''s Epée'!$T$3=TRUE,K30,0)</f>
        <v>260</v>
      </c>
      <c r="AC30" s="12">
        <f>IF('Men''s Epée'!$U$3=TRUE,M30,0)</f>
        <v>330</v>
      </c>
      <c r="AD30" s="26">
        <f t="shared" si="11"/>
        <v>0</v>
      </c>
      <c r="AE30" s="26">
        <f t="shared" si="12"/>
        <v>0</v>
      </c>
      <c r="AF30" s="26">
        <f t="shared" si="13"/>
        <v>0</v>
      </c>
      <c r="AG30" s="26">
        <f t="shared" si="14"/>
        <v>0</v>
      </c>
      <c r="AH30" s="12">
        <f t="shared" si="6"/>
        <v>608</v>
      </c>
    </row>
    <row r="31" spans="1:34" ht="13.5">
      <c r="A31" s="16" t="str">
        <f t="shared" si="0"/>
        <v>28</v>
      </c>
      <c r="B31" s="16">
        <f t="shared" si="1"/>
      </c>
      <c r="C31" s="17" t="s">
        <v>115</v>
      </c>
      <c r="D31" s="18">
        <v>1981</v>
      </c>
      <c r="E31" s="19">
        <f>ROUND(F31+IF('Men''s Epée'!$A$3=1,G31,0)+LARGE($S31:$Y31,1)+LARGE($S31:$Y31,2),0)</f>
        <v>590</v>
      </c>
      <c r="F31" s="20"/>
      <c r="G31" s="21"/>
      <c r="H31" s="21">
        <v>34</v>
      </c>
      <c r="I31" s="22">
        <f>IF(OR('Men''s Epée'!$A$3=1,'Men''s Epée'!$S$3=TRUE),IF(OR(H31&gt;=49,ISNUMBER(H31)=FALSE),0,VLOOKUP(H31,PointTable,I$3,TRUE)),0)</f>
        <v>270</v>
      </c>
      <c r="J31" s="21">
        <v>48</v>
      </c>
      <c r="K31" s="22">
        <f>IF(OR('Men''s Epée'!$A$3=1,'Men''s Epée'!$T$3=TRUE),IF(OR(J31&gt;=49,ISNUMBER(J31)=FALSE),0,VLOOKUP(J31,PointTable,K$3,TRUE)),0)</f>
        <v>200</v>
      </c>
      <c r="L31" s="21">
        <v>23</v>
      </c>
      <c r="M31" s="22">
        <f>IF(OR('Men''s Epée'!$A$3=1,'Men''s Epée'!$U$3=TRUE),IF(OR(L31&gt;=49,ISNUMBER(L31)=FALSE),0,VLOOKUP(L31,PointTable,M$3,TRUE)),0)</f>
        <v>320</v>
      </c>
      <c r="N31" s="23"/>
      <c r="O31" s="23"/>
      <c r="P31" s="23"/>
      <c r="Q31" s="24"/>
      <c r="S31" s="25">
        <f t="shared" si="8"/>
        <v>270</v>
      </c>
      <c r="T31" s="25">
        <f t="shared" si="9"/>
        <v>200</v>
      </c>
      <c r="U31" s="25">
        <f t="shared" si="10"/>
        <v>320</v>
      </c>
      <c r="V31" s="25">
        <f>IF(OR('Men''s Epée'!$A$3=1,N31&gt;0),ABS(N31),0)</f>
        <v>0</v>
      </c>
      <c r="W31" s="25">
        <f>IF(OR('Men''s Epée'!$A$3=1,O31&gt;0),ABS(O31),0)</f>
        <v>0</v>
      </c>
      <c r="X31" s="25">
        <f>IF(OR('Men''s Epée'!$A$3=1,P31&gt;0),ABS(P31),0)</f>
        <v>0</v>
      </c>
      <c r="Y31" s="25">
        <f>IF(OR('Men''s Epée'!$A$3=1,Q31&gt;0),ABS(Q31),0)</f>
        <v>0</v>
      </c>
      <c r="AA31" s="12">
        <f>IF('Men''s Epée'!$S$3=TRUE,I31,0)</f>
        <v>270</v>
      </c>
      <c r="AB31" s="12">
        <f>IF('Men''s Epée'!$T$3=TRUE,K31,0)</f>
        <v>200</v>
      </c>
      <c r="AC31" s="12">
        <f>IF('Men''s Epée'!$U$3=TRUE,M31,0)</f>
        <v>320</v>
      </c>
      <c r="AD31" s="26">
        <f t="shared" si="11"/>
        <v>0</v>
      </c>
      <c r="AE31" s="26">
        <f t="shared" si="12"/>
        <v>0</v>
      </c>
      <c r="AF31" s="26">
        <f t="shared" si="13"/>
        <v>0</v>
      </c>
      <c r="AG31" s="26">
        <f t="shared" si="14"/>
        <v>0</v>
      </c>
      <c r="AH31" s="12">
        <f t="shared" si="6"/>
        <v>590</v>
      </c>
    </row>
    <row r="32" spans="1:34" ht="13.5">
      <c r="A32" s="16" t="str">
        <f t="shared" si="0"/>
        <v>29</v>
      </c>
      <c r="B32" s="16" t="str">
        <f t="shared" si="1"/>
        <v>#</v>
      </c>
      <c r="C32" s="17" t="s">
        <v>131</v>
      </c>
      <c r="D32" s="18">
        <v>1983</v>
      </c>
      <c r="E32" s="19">
        <f>ROUND(F32+IF('Men''s Epée'!$A$3=1,G32,0)+LARGE($S32:$Y32,1)+LARGE($S32:$Y32,2),0)</f>
        <v>580</v>
      </c>
      <c r="F32" s="20"/>
      <c r="G32" s="21"/>
      <c r="H32" s="21" t="s">
        <v>5</v>
      </c>
      <c r="I32" s="22">
        <f>IF(OR('Men''s Epée'!$A$3=1,'Men''s Epée'!$S$3=TRUE),IF(OR(H32&gt;=49,ISNUMBER(H32)=FALSE),0,VLOOKUP(H32,PointTable,I$3,TRUE)),0)</f>
        <v>0</v>
      </c>
      <c r="J32" s="21">
        <v>39</v>
      </c>
      <c r="K32" s="22">
        <f>IF(OR('Men''s Epée'!$A$3=1,'Men''s Epée'!$T$3=TRUE),IF(OR(J32&gt;=49,ISNUMBER(J32)=FALSE),0,VLOOKUP(J32,PointTable,K$3,TRUE)),0)</f>
        <v>245</v>
      </c>
      <c r="L32" s="21">
        <v>20</v>
      </c>
      <c r="M32" s="22">
        <f>IF(OR('Men''s Epée'!$A$3=1,'Men''s Epée'!$U$3=TRUE),IF(OR(L32&gt;=49,ISNUMBER(L32)=FALSE),0,VLOOKUP(L32,PointTable,M$3,TRUE)),0)</f>
        <v>335</v>
      </c>
      <c r="N32" s="23"/>
      <c r="O32" s="23"/>
      <c r="P32" s="23"/>
      <c r="Q32" s="24"/>
      <c r="S32" s="25">
        <f t="shared" si="8"/>
        <v>0</v>
      </c>
      <c r="T32" s="25">
        <f t="shared" si="9"/>
        <v>245</v>
      </c>
      <c r="U32" s="25">
        <f t="shared" si="10"/>
        <v>335</v>
      </c>
      <c r="V32" s="25">
        <f>IF(OR('Men''s Epée'!$A$3=1,N32&gt;0),ABS(N32),0)</f>
        <v>0</v>
      </c>
      <c r="W32" s="25">
        <f>IF(OR('Men''s Epée'!$A$3=1,O32&gt;0),ABS(O32),0)</f>
        <v>0</v>
      </c>
      <c r="X32" s="25">
        <f>IF(OR('Men''s Epée'!$A$3=1,P32&gt;0),ABS(P32),0)</f>
        <v>0</v>
      </c>
      <c r="Y32" s="25">
        <f>IF(OR('Men''s Epée'!$A$3=1,Q32&gt;0),ABS(Q32),0)</f>
        <v>0</v>
      </c>
      <c r="AA32" s="12">
        <f>IF('Men''s Epée'!$S$3=TRUE,I32,0)</f>
        <v>0</v>
      </c>
      <c r="AB32" s="12">
        <f>IF('Men''s Epée'!$T$3=TRUE,K32,0)</f>
        <v>245</v>
      </c>
      <c r="AC32" s="12">
        <f>IF('Men''s Epée'!$U$3=TRUE,M32,0)</f>
        <v>335</v>
      </c>
      <c r="AD32" s="26">
        <f t="shared" si="11"/>
        <v>0</v>
      </c>
      <c r="AE32" s="26">
        <f t="shared" si="12"/>
        <v>0</v>
      </c>
      <c r="AF32" s="26">
        <f t="shared" si="13"/>
        <v>0</v>
      </c>
      <c r="AG32" s="26">
        <f t="shared" si="14"/>
        <v>0</v>
      </c>
      <c r="AH32" s="12">
        <f t="shared" si="6"/>
        <v>580</v>
      </c>
    </row>
    <row r="33" spans="1:34" ht="13.5">
      <c r="A33" s="16" t="str">
        <f t="shared" si="0"/>
        <v>30</v>
      </c>
      <c r="B33" s="16">
        <f t="shared" si="1"/>
      </c>
      <c r="C33" s="17" t="s">
        <v>28</v>
      </c>
      <c r="D33" s="18">
        <v>1970</v>
      </c>
      <c r="E33" s="19">
        <f>ROUND(F33+IF('Men''s Epée'!$A$3=1,G33,0)+LARGE($S33:$Y33,1)+LARGE($S33:$Y33,2),0)</f>
        <v>565</v>
      </c>
      <c r="F33" s="20"/>
      <c r="G33" s="21"/>
      <c r="H33" s="21" t="s">
        <v>5</v>
      </c>
      <c r="I33" s="22">
        <f>IF(OR('Men''s Epée'!$A$3=1,'Men''s Epée'!$S$3=TRUE),IF(OR(H33&gt;=49,ISNUMBER(H33)=FALSE),0,VLOOKUP(H33,PointTable,I$3,TRUE)),0)</f>
        <v>0</v>
      </c>
      <c r="J33" s="21">
        <v>40</v>
      </c>
      <c r="K33" s="22">
        <f>IF(OR('Men''s Epée'!$A$3=1,'Men''s Epée'!$T$3=TRUE),IF(OR(J33&gt;=49,ISNUMBER(J33)=FALSE),0,VLOOKUP(J33,PointTable,K$3,TRUE)),0)</f>
        <v>240</v>
      </c>
      <c r="L33" s="21">
        <v>22</v>
      </c>
      <c r="M33" s="22">
        <f>IF(OR('Men''s Epée'!$A$3=1,'Men''s Epée'!$U$3=TRUE),IF(OR(L33&gt;=49,ISNUMBER(L33)=FALSE),0,VLOOKUP(L33,PointTable,M$3,TRUE)),0)</f>
        <v>325</v>
      </c>
      <c r="N33" s="23"/>
      <c r="O33" s="23"/>
      <c r="P33" s="23"/>
      <c r="Q33" s="24"/>
      <c r="S33" s="25">
        <f t="shared" si="8"/>
        <v>0</v>
      </c>
      <c r="T33" s="25">
        <f t="shared" si="9"/>
        <v>240</v>
      </c>
      <c r="U33" s="25">
        <f t="shared" si="10"/>
        <v>325</v>
      </c>
      <c r="V33" s="25">
        <f>IF(OR('Men''s Epée'!$A$3=1,N33&gt;0),ABS(N33),0)</f>
        <v>0</v>
      </c>
      <c r="W33" s="25">
        <f>IF(OR('Men''s Epée'!$A$3=1,O33&gt;0),ABS(O33),0)</f>
        <v>0</v>
      </c>
      <c r="X33" s="25">
        <f>IF(OR('Men''s Epée'!$A$3=1,P33&gt;0),ABS(P33),0)</f>
        <v>0</v>
      </c>
      <c r="Y33" s="25">
        <f>IF(OR('Men''s Epée'!$A$3=1,Q33&gt;0),ABS(Q33),0)</f>
        <v>0</v>
      </c>
      <c r="AA33" s="12">
        <f>IF('Men''s Epée'!$S$3=TRUE,I33,0)</f>
        <v>0</v>
      </c>
      <c r="AB33" s="12">
        <f>IF('Men''s Epée'!$T$3=TRUE,K33,0)</f>
        <v>240</v>
      </c>
      <c r="AC33" s="12">
        <f>IF('Men''s Epée'!$U$3=TRUE,M33,0)</f>
        <v>325</v>
      </c>
      <c r="AD33" s="26">
        <f t="shared" si="11"/>
        <v>0</v>
      </c>
      <c r="AE33" s="26">
        <f t="shared" si="12"/>
        <v>0</v>
      </c>
      <c r="AF33" s="26">
        <f t="shared" si="13"/>
        <v>0</v>
      </c>
      <c r="AG33" s="26">
        <f t="shared" si="14"/>
        <v>0</v>
      </c>
      <c r="AH33" s="12">
        <f t="shared" si="6"/>
        <v>565</v>
      </c>
    </row>
    <row r="34" spans="1:34" ht="13.5">
      <c r="A34" s="16" t="str">
        <f t="shared" si="0"/>
        <v>31</v>
      </c>
      <c r="B34" s="16" t="str">
        <f t="shared" si="1"/>
        <v>#</v>
      </c>
      <c r="C34" s="17" t="s">
        <v>343</v>
      </c>
      <c r="D34" s="18">
        <v>1984</v>
      </c>
      <c r="E34" s="19">
        <f>ROUND(F34+IF('Men''s Epée'!$A$3=1,G34,0)+LARGE($S34:$Y34,1)+LARGE($S34:$Y34,2),0)</f>
        <v>560</v>
      </c>
      <c r="F34" s="20"/>
      <c r="G34" s="21"/>
      <c r="H34" s="21" t="s">
        <v>5</v>
      </c>
      <c r="I34" s="22">
        <f>IF(OR('Men''s Epée'!$A$3=1,'Men''s Epée'!$S$3=TRUE),IF(OR(H34&gt;=49,ISNUMBER(H34)=FALSE),0,VLOOKUP(H34,PointTable,I$3,TRUE)),0)</f>
        <v>0</v>
      </c>
      <c r="J34" s="21">
        <v>33</v>
      </c>
      <c r="K34" s="22">
        <f>IF(OR('Men''s Epée'!$A$3=1,'Men''s Epée'!$T$3=TRUE),IF(OR(J34&gt;=49,ISNUMBER(J34)=FALSE),0,VLOOKUP(J34,PointTable,K$3,TRUE)),0)</f>
        <v>275</v>
      </c>
      <c r="L34" s="21">
        <v>30</v>
      </c>
      <c r="M34" s="22">
        <f>IF(OR('Men''s Epée'!$A$3=1,'Men''s Epée'!$U$3=TRUE),IF(OR(L34&gt;=49,ISNUMBER(L34)=FALSE),0,VLOOKUP(L34,PointTable,M$3,TRUE)),0)</f>
        <v>285</v>
      </c>
      <c r="N34" s="23"/>
      <c r="O34" s="23"/>
      <c r="P34" s="23"/>
      <c r="Q34" s="24"/>
      <c r="S34" s="25">
        <f t="shared" si="8"/>
        <v>0</v>
      </c>
      <c r="T34" s="25">
        <f t="shared" si="9"/>
        <v>275</v>
      </c>
      <c r="U34" s="25">
        <f t="shared" si="10"/>
        <v>285</v>
      </c>
      <c r="V34" s="25">
        <f>IF(OR('Men''s Epée'!$A$3=1,N34&gt;0),ABS(N34),0)</f>
        <v>0</v>
      </c>
      <c r="W34" s="25">
        <f>IF(OR('Men''s Epée'!$A$3=1,O34&gt;0),ABS(O34),0)</f>
        <v>0</v>
      </c>
      <c r="X34" s="25">
        <f>IF(OR('Men''s Epée'!$A$3=1,P34&gt;0),ABS(P34),0)</f>
        <v>0</v>
      </c>
      <c r="Y34" s="25">
        <f>IF(OR('Men''s Epée'!$A$3=1,Q34&gt;0),ABS(Q34),0)</f>
        <v>0</v>
      </c>
      <c r="AA34" s="12">
        <f>IF('Men''s Epée'!$S$3=TRUE,I34,0)</f>
        <v>0</v>
      </c>
      <c r="AB34" s="12">
        <f>IF('Men''s Epée'!$T$3=TRUE,K34,0)</f>
        <v>275</v>
      </c>
      <c r="AC34" s="12">
        <f>IF('Men''s Epée'!$U$3=TRUE,M34,0)</f>
        <v>285</v>
      </c>
      <c r="AD34" s="26">
        <f t="shared" si="11"/>
        <v>0</v>
      </c>
      <c r="AE34" s="26">
        <f t="shared" si="12"/>
        <v>0</v>
      </c>
      <c r="AF34" s="26">
        <f t="shared" si="13"/>
        <v>0</v>
      </c>
      <c r="AG34" s="26">
        <f t="shared" si="14"/>
        <v>0</v>
      </c>
      <c r="AH34" s="12">
        <f t="shared" si="6"/>
        <v>560</v>
      </c>
    </row>
    <row r="35" spans="1:34" ht="13.5">
      <c r="A35" s="16" t="str">
        <f t="shared" si="0"/>
        <v>32</v>
      </c>
      <c r="B35" s="16" t="str">
        <f t="shared" si="1"/>
        <v>#</v>
      </c>
      <c r="C35" s="17" t="s">
        <v>212</v>
      </c>
      <c r="D35" s="18">
        <v>1988</v>
      </c>
      <c r="E35" s="19">
        <f>ROUND(F35+IF('Men''s Epée'!$A$3=1,G35,0)+LARGE($S35:$Y35,1)+LARGE($S35:$Y35,2),0)</f>
        <v>547</v>
      </c>
      <c r="F35" s="20"/>
      <c r="G35" s="21"/>
      <c r="H35" s="21" t="s">
        <v>5</v>
      </c>
      <c r="I35" s="22">
        <f>IF(OR('Men''s Epée'!$A$3=1,'Men''s Epée'!$S$3=TRUE),IF(OR(H35&gt;=49,ISNUMBER(H35)=FALSE),0,VLOOKUP(H35,PointTable,I$3,TRUE)),0)</f>
        <v>0</v>
      </c>
      <c r="J35" s="21" t="s">
        <v>5</v>
      </c>
      <c r="K35" s="22">
        <f>IF(OR('Men''s Epée'!$A$3=1,'Men''s Epée'!$T$3=TRUE),IF(OR(J35&gt;=49,ISNUMBER(J35)=FALSE),0,VLOOKUP(J35,PointTable,K$3,TRUE)),0)</f>
        <v>0</v>
      </c>
      <c r="L35" s="21">
        <v>14</v>
      </c>
      <c r="M35" s="22">
        <f>IF(OR('Men''s Epée'!$A$3=1,'Men''s Epée'!$U$3=TRUE),IF(OR(L35&gt;=49,ISNUMBER(L35)=FALSE),0,VLOOKUP(L35,PointTable,M$3,TRUE)),0)</f>
        <v>510</v>
      </c>
      <c r="N35" s="23">
        <v>37.368</v>
      </c>
      <c r="O35" s="23"/>
      <c r="P35" s="23"/>
      <c r="Q35" s="24"/>
      <c r="S35" s="25">
        <f t="shared" si="8"/>
        <v>0</v>
      </c>
      <c r="T35" s="25">
        <f t="shared" si="9"/>
        <v>0</v>
      </c>
      <c r="U35" s="25">
        <f t="shared" si="10"/>
        <v>510</v>
      </c>
      <c r="V35" s="25">
        <f>IF(OR('Men''s Epée'!$A$3=1,N35&gt;0),ABS(N35),0)</f>
        <v>37.368</v>
      </c>
      <c r="W35" s="25">
        <f>IF(OR('Men''s Epée'!$A$3=1,O35&gt;0),ABS(O35),0)</f>
        <v>0</v>
      </c>
      <c r="X35" s="25">
        <f>IF(OR('Men''s Epée'!$A$3=1,P35&gt;0),ABS(P35),0)</f>
        <v>0</v>
      </c>
      <c r="Y35" s="25">
        <f>IF(OR('Men''s Epée'!$A$3=1,Q35&gt;0),ABS(Q35),0)</f>
        <v>0</v>
      </c>
      <c r="AA35" s="12">
        <f>IF('Men''s Epée'!$S$3=TRUE,I35,0)</f>
        <v>0</v>
      </c>
      <c r="AB35" s="12">
        <f>IF('Men''s Epée'!$T$3=TRUE,K35,0)</f>
        <v>0</v>
      </c>
      <c r="AC35" s="12">
        <f>IF('Men''s Epée'!$U$3=TRUE,M35,0)</f>
        <v>510</v>
      </c>
      <c r="AD35" s="26">
        <f t="shared" si="11"/>
        <v>37.368</v>
      </c>
      <c r="AE35" s="26">
        <f t="shared" si="12"/>
        <v>0</v>
      </c>
      <c r="AF35" s="26">
        <f t="shared" si="13"/>
        <v>0</v>
      </c>
      <c r="AG35" s="26">
        <f t="shared" si="14"/>
        <v>0</v>
      </c>
      <c r="AH35" s="12">
        <f t="shared" si="6"/>
        <v>547</v>
      </c>
    </row>
    <row r="36" spans="1:34" ht="13.5">
      <c r="A36" s="16" t="str">
        <f t="shared" si="0"/>
        <v>33T</v>
      </c>
      <c r="B36" s="16">
        <f aca="true" t="shared" si="15" ref="B36:B44">TRIM(IF(D36&gt;=JuniorCutoff,"#",""))</f>
      </c>
      <c r="C36" s="17" t="s">
        <v>258</v>
      </c>
      <c r="D36" s="18">
        <v>1980</v>
      </c>
      <c r="E36" s="19">
        <f>ROUND(F36+IF('Men''s Epée'!$A$3=1,G36,0)+LARGE($S36:$Y36,1)+LARGE($S36:$Y36,2),0)</f>
        <v>545</v>
      </c>
      <c r="F36" s="20"/>
      <c r="G36" s="21"/>
      <c r="H36" s="21">
        <v>45.5</v>
      </c>
      <c r="I36" s="22">
        <f>IF(OR('Men''s Epée'!$A$3=1,'Men''s Epée'!$S$3=TRUE),IF(OR(H36&gt;=49,ISNUMBER(H36)=FALSE),0,VLOOKUP(H36,PointTable,I$3,TRUE)),0)</f>
        <v>212.5</v>
      </c>
      <c r="J36" s="21">
        <v>41</v>
      </c>
      <c r="K36" s="22">
        <f>IF(OR('Men''s Epée'!$A$3=1,'Men''s Epée'!$T$3=TRUE),IF(OR(J36&gt;=49,ISNUMBER(J36)=FALSE),0,VLOOKUP(J36,PointTable,K$3,TRUE)),0)</f>
        <v>235</v>
      </c>
      <c r="L36" s="21">
        <v>25</v>
      </c>
      <c r="M36" s="22">
        <f>IF(OR('Men''s Epée'!$A$3=1,'Men''s Epée'!$U$3=TRUE),IF(OR(L36&gt;=49,ISNUMBER(L36)=FALSE),0,VLOOKUP(L36,PointTable,M$3,TRUE)),0)</f>
        <v>310</v>
      </c>
      <c r="N36" s="23"/>
      <c r="O36" s="23"/>
      <c r="P36" s="23"/>
      <c r="Q36" s="24"/>
      <c r="S36" s="25">
        <f aca="true" t="shared" si="16" ref="S36:S44">I36</f>
        <v>212.5</v>
      </c>
      <c r="T36" s="25">
        <f aca="true" t="shared" si="17" ref="T36:T44">K36</f>
        <v>235</v>
      </c>
      <c r="U36" s="25">
        <f aca="true" t="shared" si="18" ref="U36:U44">M36</f>
        <v>310</v>
      </c>
      <c r="V36" s="25">
        <f>IF(OR('Men''s Epée'!$A$3=1,N36&gt;0),ABS(N36),0)</f>
        <v>0</v>
      </c>
      <c r="W36" s="25">
        <f>IF(OR('Men''s Epée'!$A$3=1,O36&gt;0),ABS(O36),0)</f>
        <v>0</v>
      </c>
      <c r="X36" s="25">
        <f>IF(OR('Men''s Epée'!$A$3=1,P36&gt;0),ABS(P36),0)</f>
        <v>0</v>
      </c>
      <c r="Y36" s="25">
        <f>IF(OR('Men''s Epée'!$A$3=1,Q36&gt;0),ABS(Q36),0)</f>
        <v>0</v>
      </c>
      <c r="AA36" s="12">
        <f>IF('Men''s Epée'!$S$3=TRUE,I36,0)</f>
        <v>212.5</v>
      </c>
      <c r="AB36" s="12">
        <f>IF('Men''s Epée'!$T$3=TRUE,K36,0)</f>
        <v>235</v>
      </c>
      <c r="AC36" s="12">
        <f>IF('Men''s Epée'!$U$3=TRUE,M36,0)</f>
        <v>310</v>
      </c>
      <c r="AD36" s="26">
        <f aca="true" t="shared" si="19" ref="AD36:AD44">MAX(N36,0)</f>
        <v>0</v>
      </c>
      <c r="AE36" s="26">
        <f aca="true" t="shared" si="20" ref="AE36:AE44">MAX(O36,0)</f>
        <v>0</v>
      </c>
      <c r="AF36" s="26">
        <f aca="true" t="shared" si="21" ref="AF36:AF44">MAX(P36,0)</f>
        <v>0</v>
      </c>
      <c r="AG36" s="26">
        <f aca="true" t="shared" si="22" ref="AG36:AG44">MAX(Q36,0)</f>
        <v>0</v>
      </c>
      <c r="AH36" s="12">
        <f t="shared" si="6"/>
        <v>545</v>
      </c>
    </row>
    <row r="37" spans="1:34" ht="13.5">
      <c r="A37" s="16" t="str">
        <f t="shared" si="0"/>
        <v>33T</v>
      </c>
      <c r="B37" s="16">
        <f t="shared" si="15"/>
      </c>
      <c r="C37" s="17" t="s">
        <v>180</v>
      </c>
      <c r="D37" s="18">
        <v>1978</v>
      </c>
      <c r="E37" s="19">
        <f>ROUND(F37+IF('Men''s Epée'!$A$3=1,G37,0)+LARGE($S37:$Y37,1)+LARGE($S37:$Y37,2),0)</f>
        <v>545</v>
      </c>
      <c r="F37" s="20"/>
      <c r="G37" s="21"/>
      <c r="H37" s="21">
        <v>35</v>
      </c>
      <c r="I37" s="22">
        <f>IF(OR('Men''s Epée'!$A$3=1,'Men''s Epée'!$S$3=TRUE),IF(OR(H37&gt;=49,ISNUMBER(H37)=FALSE),0,VLOOKUP(H37,PointTable,I$3,TRUE)),0)</f>
        <v>265</v>
      </c>
      <c r="J37" s="21" t="s">
        <v>5</v>
      </c>
      <c r="K37" s="22">
        <f>IF(OR('Men''s Epée'!$A$3=1,'Men''s Epée'!$T$3=TRUE),IF(OR(J37&gt;=49,ISNUMBER(J37)=FALSE),0,VLOOKUP(J37,PointTable,K$3,TRUE)),0)</f>
        <v>0</v>
      </c>
      <c r="L37" s="21">
        <v>31</v>
      </c>
      <c r="M37" s="22">
        <f>IF(OR('Men''s Epée'!$A$3=1,'Men''s Epée'!$U$3=TRUE),IF(OR(L37&gt;=49,ISNUMBER(L37)=FALSE),0,VLOOKUP(L37,PointTable,M$3,TRUE)),0)</f>
        <v>280</v>
      </c>
      <c r="N37" s="23"/>
      <c r="O37" s="23"/>
      <c r="P37" s="23"/>
      <c r="Q37" s="24"/>
      <c r="S37" s="25">
        <f t="shared" si="16"/>
        <v>265</v>
      </c>
      <c r="T37" s="25">
        <f t="shared" si="17"/>
        <v>0</v>
      </c>
      <c r="U37" s="25">
        <f t="shared" si="18"/>
        <v>280</v>
      </c>
      <c r="V37" s="25">
        <f>IF(OR('Men''s Epée'!$A$3=1,N37&gt;0),ABS(N37),0)</f>
        <v>0</v>
      </c>
      <c r="W37" s="25">
        <f>IF(OR('Men''s Epée'!$A$3=1,O37&gt;0),ABS(O37),0)</f>
        <v>0</v>
      </c>
      <c r="X37" s="25">
        <f>IF(OR('Men''s Epée'!$A$3=1,P37&gt;0),ABS(P37),0)</f>
        <v>0</v>
      </c>
      <c r="Y37" s="25">
        <f>IF(OR('Men''s Epée'!$A$3=1,Q37&gt;0),ABS(Q37),0)</f>
        <v>0</v>
      </c>
      <c r="AA37" s="12">
        <f>IF('Men''s Epée'!$S$3=TRUE,I37,0)</f>
        <v>265</v>
      </c>
      <c r="AB37" s="12">
        <f>IF('Men''s Epée'!$T$3=TRUE,K37,0)</f>
        <v>0</v>
      </c>
      <c r="AC37" s="12">
        <f>IF('Men''s Epée'!$U$3=TRUE,M37,0)</f>
        <v>280</v>
      </c>
      <c r="AD37" s="26">
        <f t="shared" si="19"/>
        <v>0</v>
      </c>
      <c r="AE37" s="26">
        <f t="shared" si="20"/>
        <v>0</v>
      </c>
      <c r="AF37" s="26">
        <f t="shared" si="21"/>
        <v>0</v>
      </c>
      <c r="AG37" s="26">
        <f t="shared" si="22"/>
        <v>0</v>
      </c>
      <c r="AH37" s="12">
        <f t="shared" si="6"/>
        <v>545</v>
      </c>
    </row>
    <row r="38" spans="1:34" ht="13.5">
      <c r="A38" s="16" t="str">
        <f t="shared" si="0"/>
        <v>35</v>
      </c>
      <c r="B38" s="16" t="str">
        <f t="shared" si="15"/>
        <v>#</v>
      </c>
      <c r="C38" s="17" t="s">
        <v>255</v>
      </c>
      <c r="D38" s="18">
        <v>1983</v>
      </c>
      <c r="E38" s="19">
        <f>ROUND(F38+IF('Men''s Epée'!$A$3=1,G38,0)+LARGE($S38:$Y38,1)+LARGE($S38:$Y38,2),0)</f>
        <v>543</v>
      </c>
      <c r="F38" s="20"/>
      <c r="G38" s="21"/>
      <c r="H38" s="21">
        <v>32.5</v>
      </c>
      <c r="I38" s="22">
        <f>IF(OR('Men''s Epée'!$A$3=1,'Men''s Epée'!$S$3=TRUE),IF(OR(H38&gt;=49,ISNUMBER(H38)=FALSE),0,VLOOKUP(H38,PointTable,I$3,TRUE)),0)</f>
        <v>277.5</v>
      </c>
      <c r="J38" s="21">
        <v>35</v>
      </c>
      <c r="K38" s="22">
        <f>IF(OR('Men''s Epée'!$A$3=1,'Men''s Epée'!$T$3=TRUE),IF(OR(J38&gt;=49,ISNUMBER(J38)=FALSE),0,VLOOKUP(J38,PointTable,K$3,TRUE)),0)</f>
        <v>265</v>
      </c>
      <c r="L38" s="21" t="s">
        <v>5</v>
      </c>
      <c r="M38" s="22">
        <f>IF(OR('Men''s Epée'!$A$3=1,'Men''s Epée'!$U$3=TRUE),IF(OR(L38&gt;=49,ISNUMBER(L38)=FALSE),0,VLOOKUP(L38,PointTable,M$3,TRUE)),0)</f>
        <v>0</v>
      </c>
      <c r="N38" s="23"/>
      <c r="O38" s="23"/>
      <c r="P38" s="23"/>
      <c r="Q38" s="24"/>
      <c r="S38" s="25">
        <f t="shared" si="16"/>
        <v>277.5</v>
      </c>
      <c r="T38" s="25">
        <f t="shared" si="17"/>
        <v>265</v>
      </c>
      <c r="U38" s="25">
        <f t="shared" si="18"/>
        <v>0</v>
      </c>
      <c r="V38" s="25">
        <f>IF(OR('Men''s Epée'!$A$3=1,N38&gt;0),ABS(N38),0)</f>
        <v>0</v>
      </c>
      <c r="W38" s="25">
        <f>IF(OR('Men''s Epée'!$A$3=1,O38&gt;0),ABS(O38),0)</f>
        <v>0</v>
      </c>
      <c r="X38" s="25">
        <f>IF(OR('Men''s Epée'!$A$3=1,P38&gt;0),ABS(P38),0)</f>
        <v>0</v>
      </c>
      <c r="Y38" s="25">
        <f>IF(OR('Men''s Epée'!$A$3=1,Q38&gt;0),ABS(Q38),0)</f>
        <v>0</v>
      </c>
      <c r="AA38" s="12">
        <f>IF('Men''s Epée'!$S$3=TRUE,I38,0)</f>
        <v>277.5</v>
      </c>
      <c r="AB38" s="12">
        <f>IF('Men''s Epée'!$T$3=TRUE,K38,0)</f>
        <v>265</v>
      </c>
      <c r="AC38" s="12">
        <f>IF('Men''s Epée'!$U$3=TRUE,M38,0)</f>
        <v>0</v>
      </c>
      <c r="AD38" s="26">
        <f t="shared" si="19"/>
        <v>0</v>
      </c>
      <c r="AE38" s="26">
        <f t="shared" si="20"/>
        <v>0</v>
      </c>
      <c r="AF38" s="26">
        <f t="shared" si="21"/>
        <v>0</v>
      </c>
      <c r="AG38" s="26">
        <f t="shared" si="22"/>
        <v>0</v>
      </c>
      <c r="AH38" s="12">
        <f t="shared" si="6"/>
        <v>543</v>
      </c>
    </row>
    <row r="39" spans="1:34" ht="13.5">
      <c r="A39" s="16" t="str">
        <f t="shared" si="0"/>
        <v>36</v>
      </c>
      <c r="B39" s="16">
        <f t="shared" si="15"/>
      </c>
      <c r="C39" s="17" t="s">
        <v>252</v>
      </c>
      <c r="D39" s="18">
        <v>1974</v>
      </c>
      <c r="E39" s="19">
        <f>ROUND(F39+IF('Men''s Epée'!$A$3=1,G39,0)+LARGE($S39:$Y39,1)+LARGE($S39:$Y39,2),0)</f>
        <v>525</v>
      </c>
      <c r="F39" s="20"/>
      <c r="G39" s="21"/>
      <c r="H39" s="21">
        <v>27</v>
      </c>
      <c r="I39" s="22">
        <f>IF(OR('Men''s Epée'!$A$3=1,'Men''s Epée'!$S$3=TRUE),IF(OR(H39&gt;=49,ISNUMBER(H39)=FALSE),0,VLOOKUP(H39,PointTable,I$3,TRUE)),0)</f>
        <v>305</v>
      </c>
      <c r="J39" s="21">
        <v>43.33</v>
      </c>
      <c r="K39" s="22">
        <f>IF(OR('Men''s Epée'!$A$3=1,'Men''s Epée'!$T$3=TRUE),IF(OR(J39&gt;=49,ISNUMBER(J39)=FALSE),0,VLOOKUP(J39,PointTable,K$3,TRUE)),0)</f>
        <v>220</v>
      </c>
      <c r="L39" s="21" t="s">
        <v>5</v>
      </c>
      <c r="M39" s="22">
        <f>IF(OR('Men''s Epée'!$A$3=1,'Men''s Epée'!$U$3=TRUE),IF(OR(L39&gt;=49,ISNUMBER(L39)=FALSE),0,VLOOKUP(L39,PointTable,M$3,TRUE)),0)</f>
        <v>0</v>
      </c>
      <c r="N39" s="23"/>
      <c r="O39" s="23"/>
      <c r="P39" s="23"/>
      <c r="Q39" s="24"/>
      <c r="S39" s="25">
        <f t="shared" si="16"/>
        <v>305</v>
      </c>
      <c r="T39" s="25">
        <f t="shared" si="17"/>
        <v>220</v>
      </c>
      <c r="U39" s="25">
        <f t="shared" si="18"/>
        <v>0</v>
      </c>
      <c r="V39" s="25">
        <f>IF(OR('Men''s Epée'!$A$3=1,N39&gt;0),ABS(N39),0)</f>
        <v>0</v>
      </c>
      <c r="W39" s="25">
        <f>IF(OR('Men''s Epée'!$A$3=1,O39&gt;0),ABS(O39),0)</f>
        <v>0</v>
      </c>
      <c r="X39" s="25">
        <f>IF(OR('Men''s Epée'!$A$3=1,P39&gt;0),ABS(P39),0)</f>
        <v>0</v>
      </c>
      <c r="Y39" s="25">
        <f>IF(OR('Men''s Epée'!$A$3=1,Q39&gt;0),ABS(Q39),0)</f>
        <v>0</v>
      </c>
      <c r="AA39" s="12">
        <f>IF('Men''s Epée'!$S$3=TRUE,I39,0)</f>
        <v>305</v>
      </c>
      <c r="AB39" s="12">
        <f>IF('Men''s Epée'!$T$3=TRUE,K39,0)</f>
        <v>220</v>
      </c>
      <c r="AC39" s="12">
        <f>IF('Men''s Epée'!$U$3=TRUE,M39,0)</f>
        <v>0</v>
      </c>
      <c r="AD39" s="26">
        <f t="shared" si="19"/>
        <v>0</v>
      </c>
      <c r="AE39" s="26">
        <f t="shared" si="20"/>
        <v>0</v>
      </c>
      <c r="AF39" s="26">
        <f t="shared" si="21"/>
        <v>0</v>
      </c>
      <c r="AG39" s="26">
        <f t="shared" si="22"/>
        <v>0</v>
      </c>
      <c r="AH39" s="12">
        <f t="shared" si="6"/>
        <v>525</v>
      </c>
    </row>
    <row r="40" spans="1:34" ht="13.5">
      <c r="A40" s="16" t="str">
        <f t="shared" si="0"/>
        <v>37</v>
      </c>
      <c r="B40" s="16" t="str">
        <f t="shared" si="15"/>
        <v>#</v>
      </c>
      <c r="C40" s="17" t="s">
        <v>345</v>
      </c>
      <c r="D40" s="18">
        <v>1986</v>
      </c>
      <c r="E40" s="19">
        <f>ROUND(F40+IF('Men''s Epée'!$A$3=1,G40,0)+LARGE($S40:$Y40,1)+LARGE($S40:$Y40,2),0)</f>
        <v>520</v>
      </c>
      <c r="F40" s="20"/>
      <c r="G40" s="21"/>
      <c r="H40" s="21" t="s">
        <v>5</v>
      </c>
      <c r="I40" s="22">
        <f>IF(OR('Men''s Epée'!$A$3=1,'Men''s Epée'!$S$3=TRUE),IF(OR(H40&gt;=49,ISNUMBER(H40)=FALSE),0,VLOOKUP(H40,PointTable,I$3,TRUE)),0)</f>
        <v>0</v>
      </c>
      <c r="J40" s="21">
        <v>43.33</v>
      </c>
      <c r="K40" s="22">
        <f>IF(OR('Men''s Epée'!$A$3=1,'Men''s Epée'!$T$3=TRUE),IF(OR(J40&gt;=49,ISNUMBER(J40)=FALSE),0,VLOOKUP(J40,PointTable,K$3,TRUE)),0)</f>
        <v>220</v>
      </c>
      <c r="L40" s="21">
        <v>27</v>
      </c>
      <c r="M40" s="22">
        <f>IF(OR('Men''s Epée'!$A$3=1,'Men''s Epée'!$U$3=TRUE),IF(OR(L40&gt;=49,ISNUMBER(L40)=FALSE),0,VLOOKUP(L40,PointTable,M$3,TRUE)),0)</f>
        <v>300</v>
      </c>
      <c r="N40" s="23"/>
      <c r="O40" s="23"/>
      <c r="P40" s="23"/>
      <c r="Q40" s="24"/>
      <c r="S40" s="25">
        <f t="shared" si="16"/>
        <v>0</v>
      </c>
      <c r="T40" s="25">
        <f t="shared" si="17"/>
        <v>220</v>
      </c>
      <c r="U40" s="25">
        <f t="shared" si="18"/>
        <v>300</v>
      </c>
      <c r="V40" s="25">
        <f>IF(OR('Men''s Epée'!$A$3=1,N40&gt;0),ABS(N40),0)</f>
        <v>0</v>
      </c>
      <c r="W40" s="25">
        <f>IF(OR('Men''s Epée'!$A$3=1,O40&gt;0),ABS(O40),0)</f>
        <v>0</v>
      </c>
      <c r="X40" s="25">
        <f>IF(OR('Men''s Epée'!$A$3=1,P40&gt;0),ABS(P40),0)</f>
        <v>0</v>
      </c>
      <c r="Y40" s="25">
        <f>IF(OR('Men''s Epée'!$A$3=1,Q40&gt;0),ABS(Q40),0)</f>
        <v>0</v>
      </c>
      <c r="AA40" s="12">
        <f>IF('Men''s Epée'!$S$3=TRUE,I40,0)</f>
        <v>0</v>
      </c>
      <c r="AB40" s="12">
        <f>IF('Men''s Epée'!$T$3=TRUE,K40,0)</f>
        <v>220</v>
      </c>
      <c r="AC40" s="12">
        <f>IF('Men''s Epée'!$U$3=TRUE,M40,0)</f>
        <v>300</v>
      </c>
      <c r="AD40" s="26">
        <f t="shared" si="19"/>
        <v>0</v>
      </c>
      <c r="AE40" s="26">
        <f t="shared" si="20"/>
        <v>0</v>
      </c>
      <c r="AF40" s="26">
        <f t="shared" si="21"/>
        <v>0</v>
      </c>
      <c r="AG40" s="26">
        <f t="shared" si="22"/>
        <v>0</v>
      </c>
      <c r="AH40" s="12">
        <f t="shared" si="6"/>
        <v>520</v>
      </c>
    </row>
    <row r="41" spans="1:34" ht="13.5">
      <c r="A41" s="16" t="str">
        <f t="shared" si="0"/>
        <v>38</v>
      </c>
      <c r="B41" s="16">
        <f t="shared" si="15"/>
      </c>
      <c r="C41" s="17" t="s">
        <v>198</v>
      </c>
      <c r="D41" s="18">
        <v>1981</v>
      </c>
      <c r="E41" s="19">
        <f>ROUND(F41+IF('Men''s Epée'!$A$3=1,G41,0)+LARGE($S41:$Y41,1)+LARGE($S41:$Y41,2),0)</f>
        <v>458</v>
      </c>
      <c r="F41" s="20"/>
      <c r="G41" s="21"/>
      <c r="H41" s="21">
        <v>40.5</v>
      </c>
      <c r="I41" s="22">
        <f>IF(OR('Men''s Epée'!$A$3=1,'Men''s Epée'!$S$3=TRUE),IF(OR(H41&gt;=49,ISNUMBER(H41)=FALSE),0,VLOOKUP(H41,PointTable,I$3,TRUE)),0)</f>
        <v>237.5</v>
      </c>
      <c r="J41" s="21">
        <v>43.33</v>
      </c>
      <c r="K41" s="22">
        <f>IF(OR('Men''s Epée'!$A$3=1,'Men''s Epée'!$T$3=TRUE),IF(OR(J41&gt;=49,ISNUMBER(J41)=FALSE),0,VLOOKUP(J41,PointTable,K$3,TRUE)),0)</f>
        <v>220</v>
      </c>
      <c r="L41" s="21" t="s">
        <v>5</v>
      </c>
      <c r="M41" s="22">
        <f>IF(OR('Men''s Epée'!$A$3=1,'Men''s Epée'!$U$3=TRUE),IF(OR(L41&gt;=49,ISNUMBER(L41)=FALSE),0,VLOOKUP(L41,PointTable,M$3,TRUE)),0)</f>
        <v>0</v>
      </c>
      <c r="N41" s="23"/>
      <c r="O41" s="23"/>
      <c r="P41" s="23"/>
      <c r="Q41" s="24"/>
      <c r="S41" s="25">
        <f t="shared" si="16"/>
        <v>237.5</v>
      </c>
      <c r="T41" s="25">
        <f t="shared" si="17"/>
        <v>220</v>
      </c>
      <c r="U41" s="25">
        <f t="shared" si="18"/>
        <v>0</v>
      </c>
      <c r="V41" s="25">
        <f>IF(OR('Men''s Epée'!$A$3=1,N41&gt;0),ABS(N41),0)</f>
        <v>0</v>
      </c>
      <c r="W41" s="25">
        <f>IF(OR('Men''s Epée'!$A$3=1,O41&gt;0),ABS(O41),0)</f>
        <v>0</v>
      </c>
      <c r="X41" s="25">
        <f>IF(OR('Men''s Epée'!$A$3=1,P41&gt;0),ABS(P41),0)</f>
        <v>0</v>
      </c>
      <c r="Y41" s="25">
        <f>IF(OR('Men''s Epée'!$A$3=1,Q41&gt;0),ABS(Q41),0)</f>
        <v>0</v>
      </c>
      <c r="AA41" s="12">
        <f>IF('Men''s Epée'!$S$3=TRUE,I41,0)</f>
        <v>237.5</v>
      </c>
      <c r="AB41" s="12">
        <f>IF('Men''s Epée'!$T$3=TRUE,K41,0)</f>
        <v>220</v>
      </c>
      <c r="AC41" s="12">
        <f>IF('Men''s Epée'!$U$3=TRUE,M41,0)</f>
        <v>0</v>
      </c>
      <c r="AD41" s="26">
        <f t="shared" si="19"/>
        <v>0</v>
      </c>
      <c r="AE41" s="26">
        <f t="shared" si="20"/>
        <v>0</v>
      </c>
      <c r="AF41" s="26">
        <f t="shared" si="21"/>
        <v>0</v>
      </c>
      <c r="AG41" s="26">
        <f t="shared" si="22"/>
        <v>0</v>
      </c>
      <c r="AH41" s="12">
        <f t="shared" si="6"/>
        <v>458</v>
      </c>
    </row>
    <row r="42" spans="1:34" ht="13.5">
      <c r="A42" s="16" t="str">
        <f t="shared" si="0"/>
        <v>39</v>
      </c>
      <c r="B42" s="16" t="str">
        <f t="shared" si="15"/>
        <v>#</v>
      </c>
      <c r="C42" s="17" t="s">
        <v>113</v>
      </c>
      <c r="D42" s="18">
        <v>1983</v>
      </c>
      <c r="E42" s="19">
        <f>ROUND(F42+IF('Men''s Epée'!$A$3=1,G42,0)+LARGE($S42:$Y42,1)+LARGE($S42:$Y42,2),0)</f>
        <v>379</v>
      </c>
      <c r="F42" s="20"/>
      <c r="G42" s="21"/>
      <c r="H42" s="21">
        <v>26</v>
      </c>
      <c r="I42" s="22">
        <f>IF(OR('Men''s Epée'!$A$3=1,'Men''s Epée'!$S$3=TRUE),IF(OR(H42&gt;=49,ISNUMBER(H42)=FALSE),0,VLOOKUP(H42,PointTable,I$3,TRUE)),0)</f>
        <v>310</v>
      </c>
      <c r="J42" s="21" t="s">
        <v>5</v>
      </c>
      <c r="K42" s="22">
        <f>IF(OR('Men''s Epée'!$A$3=1,'Men''s Epée'!$T$3=TRUE),IF(OR(J42&gt;=49,ISNUMBER(J42)=FALSE),0,VLOOKUP(J42,PointTable,K$3,TRUE)),0)</f>
        <v>0</v>
      </c>
      <c r="L42" s="21" t="s">
        <v>5</v>
      </c>
      <c r="M42" s="22">
        <f>IF(OR('Men''s Epée'!$A$3=1,'Men''s Epée'!$U$3=TRUE),IF(OR(L42&gt;=49,ISNUMBER(L42)=FALSE),0,VLOOKUP(L42,PointTable,M$3,TRUE)),0)</f>
        <v>0</v>
      </c>
      <c r="N42" s="23">
        <v>68.688</v>
      </c>
      <c r="O42" s="23"/>
      <c r="P42" s="23"/>
      <c r="Q42" s="24"/>
      <c r="S42" s="25">
        <f t="shared" si="16"/>
        <v>310</v>
      </c>
      <c r="T42" s="25">
        <f t="shared" si="17"/>
        <v>0</v>
      </c>
      <c r="U42" s="25">
        <f t="shared" si="18"/>
        <v>0</v>
      </c>
      <c r="V42" s="25">
        <f>IF(OR('Men''s Epée'!$A$3=1,N42&gt;0),ABS(N42),0)</f>
        <v>68.688</v>
      </c>
      <c r="W42" s="25">
        <f>IF(OR('Men''s Epée'!$A$3=1,O42&gt;0),ABS(O42),0)</f>
        <v>0</v>
      </c>
      <c r="X42" s="25">
        <f>IF(OR('Men''s Epée'!$A$3=1,P42&gt;0),ABS(P42),0)</f>
        <v>0</v>
      </c>
      <c r="Y42" s="25">
        <f>IF(OR('Men''s Epée'!$A$3=1,Q42&gt;0),ABS(Q42),0)</f>
        <v>0</v>
      </c>
      <c r="AA42" s="12">
        <f>IF('Men''s Epée'!$S$3=TRUE,I42,0)</f>
        <v>310</v>
      </c>
      <c r="AB42" s="12">
        <f>IF('Men''s Epée'!$T$3=TRUE,K42,0)</f>
        <v>0</v>
      </c>
      <c r="AC42" s="12">
        <f>IF('Men''s Epée'!$U$3=TRUE,M42,0)</f>
        <v>0</v>
      </c>
      <c r="AD42" s="26">
        <f t="shared" si="19"/>
        <v>68.688</v>
      </c>
      <c r="AE42" s="26">
        <f t="shared" si="20"/>
        <v>0</v>
      </c>
      <c r="AF42" s="26">
        <f t="shared" si="21"/>
        <v>0</v>
      </c>
      <c r="AG42" s="26">
        <f t="shared" si="22"/>
        <v>0</v>
      </c>
      <c r="AH42" s="12">
        <f t="shared" si="6"/>
        <v>379</v>
      </c>
    </row>
    <row r="43" spans="1:34" ht="13.5">
      <c r="A43" s="16" t="str">
        <f t="shared" si="0"/>
        <v>40</v>
      </c>
      <c r="B43" s="16" t="str">
        <f t="shared" si="15"/>
        <v>#</v>
      </c>
      <c r="C43" s="17" t="s">
        <v>386</v>
      </c>
      <c r="D43" s="18">
        <v>1984</v>
      </c>
      <c r="E43" s="19">
        <f>ROUND(F43+IF('Men''s Epée'!$A$3=1,G43,0)+LARGE($S43:$Y43,1)+LARGE($S43:$Y43,2),0)</f>
        <v>345</v>
      </c>
      <c r="F43" s="20"/>
      <c r="G43" s="21"/>
      <c r="H43" s="21" t="s">
        <v>5</v>
      </c>
      <c r="I43" s="22">
        <f>IF(OR('Men''s Epée'!$A$3=1,'Men''s Epée'!$S$3=TRUE),IF(OR(H43&gt;=49,ISNUMBER(H43)=FALSE),0,VLOOKUP(H43,PointTable,I$3,TRUE)),0)</f>
        <v>0</v>
      </c>
      <c r="J43" s="21" t="s">
        <v>5</v>
      </c>
      <c r="K43" s="22">
        <f>IF(OR('Men''s Epée'!$A$3=1,'Men''s Epée'!$T$3=TRUE),IF(OR(J43&gt;=49,ISNUMBER(J43)=FALSE),0,VLOOKUP(J43,PointTable,K$3,TRUE)),0)</f>
        <v>0</v>
      </c>
      <c r="L43" s="21">
        <v>18</v>
      </c>
      <c r="M43" s="22">
        <f>IF(OR('Men''s Epée'!$A$3=1,'Men''s Epée'!$U$3=TRUE),IF(OR(L43&gt;=49,ISNUMBER(L43)=FALSE),0,VLOOKUP(L43,PointTable,M$3,TRUE)),0)</f>
        <v>345</v>
      </c>
      <c r="N43" s="23"/>
      <c r="O43" s="23"/>
      <c r="P43" s="23"/>
      <c r="Q43" s="24"/>
      <c r="S43" s="25">
        <f t="shared" si="16"/>
        <v>0</v>
      </c>
      <c r="T43" s="25">
        <f t="shared" si="17"/>
        <v>0</v>
      </c>
      <c r="U43" s="25">
        <f t="shared" si="18"/>
        <v>345</v>
      </c>
      <c r="V43" s="25">
        <f>IF(OR('Men''s Epée'!$A$3=1,N43&gt;0),ABS(N43),0)</f>
        <v>0</v>
      </c>
      <c r="W43" s="25">
        <f>IF(OR('Men''s Epée'!$A$3=1,O43&gt;0),ABS(O43),0)</f>
        <v>0</v>
      </c>
      <c r="X43" s="25">
        <f>IF(OR('Men''s Epée'!$A$3=1,P43&gt;0),ABS(P43),0)</f>
        <v>0</v>
      </c>
      <c r="Y43" s="25">
        <f>IF(OR('Men''s Epée'!$A$3=1,Q43&gt;0),ABS(Q43),0)</f>
        <v>0</v>
      </c>
      <c r="AA43" s="12">
        <f>IF('Men''s Epée'!$S$3=TRUE,I43,0)</f>
        <v>0</v>
      </c>
      <c r="AB43" s="12">
        <f>IF('Men''s Epée'!$T$3=TRUE,K43,0)</f>
        <v>0</v>
      </c>
      <c r="AC43" s="12">
        <f>IF('Men''s Epée'!$U$3=TRUE,M43,0)</f>
        <v>345</v>
      </c>
      <c r="AD43" s="26">
        <f t="shared" si="19"/>
        <v>0</v>
      </c>
      <c r="AE43" s="26">
        <f t="shared" si="20"/>
        <v>0</v>
      </c>
      <c r="AF43" s="26">
        <f t="shared" si="21"/>
        <v>0</v>
      </c>
      <c r="AG43" s="26">
        <f t="shared" si="22"/>
        <v>0</v>
      </c>
      <c r="AH43" s="12">
        <f t="shared" si="6"/>
        <v>345</v>
      </c>
    </row>
    <row r="44" spans="1:34" ht="13.5">
      <c r="A44" s="16" t="str">
        <f t="shared" si="0"/>
        <v>41</v>
      </c>
      <c r="B44" s="16">
        <f t="shared" si="15"/>
      </c>
      <c r="C44" s="17" t="s">
        <v>387</v>
      </c>
      <c r="D44" s="18">
        <v>1963</v>
      </c>
      <c r="E44" s="19">
        <f>ROUND(F44+IF('Men''s Epée'!$A$3=1,G44,0)+LARGE($S44:$Y44,1)+LARGE($S44:$Y44,2),0)</f>
        <v>315</v>
      </c>
      <c r="F44" s="20"/>
      <c r="G44" s="21"/>
      <c r="H44" s="21" t="s">
        <v>5</v>
      </c>
      <c r="I44" s="22">
        <f>IF(OR('Men''s Epée'!$A$3=1,'Men''s Epée'!$S$3=TRUE),IF(OR(H44&gt;=49,ISNUMBER(H44)=FALSE),0,VLOOKUP(H44,PointTable,I$3,TRUE)),0)</f>
        <v>0</v>
      </c>
      <c r="J44" s="21" t="s">
        <v>5</v>
      </c>
      <c r="K44" s="22">
        <f>IF(OR('Men''s Epée'!$A$3=1,'Men''s Epée'!$T$3=TRUE),IF(OR(J44&gt;=49,ISNUMBER(J44)=FALSE),0,VLOOKUP(J44,PointTable,K$3,TRUE)),0)</f>
        <v>0</v>
      </c>
      <c r="L44" s="21">
        <v>24</v>
      </c>
      <c r="M44" s="22">
        <f>IF(OR('Men''s Epée'!$A$3=1,'Men''s Epée'!$U$3=TRUE),IF(OR(L44&gt;=49,ISNUMBER(L44)=FALSE),0,VLOOKUP(L44,PointTable,M$3,TRUE)),0)</f>
        <v>315</v>
      </c>
      <c r="N44" s="23"/>
      <c r="O44" s="23"/>
      <c r="P44" s="23"/>
      <c r="Q44" s="24"/>
      <c r="S44" s="25">
        <f t="shared" si="16"/>
        <v>0</v>
      </c>
      <c r="T44" s="25">
        <f t="shared" si="17"/>
        <v>0</v>
      </c>
      <c r="U44" s="25">
        <f t="shared" si="18"/>
        <v>315</v>
      </c>
      <c r="V44" s="25">
        <f>IF(OR('Men''s Epée'!$A$3=1,N44&gt;0),ABS(N44),0)</f>
        <v>0</v>
      </c>
      <c r="W44" s="25">
        <f>IF(OR('Men''s Epée'!$A$3=1,O44&gt;0),ABS(O44),0)</f>
        <v>0</v>
      </c>
      <c r="X44" s="25">
        <f>IF(OR('Men''s Epée'!$A$3=1,P44&gt;0),ABS(P44),0)</f>
        <v>0</v>
      </c>
      <c r="Y44" s="25">
        <f>IF(OR('Men''s Epée'!$A$3=1,Q44&gt;0),ABS(Q44),0)</f>
        <v>0</v>
      </c>
      <c r="AA44" s="12">
        <f>IF('Men''s Epée'!$S$3=TRUE,I44,0)</f>
        <v>0</v>
      </c>
      <c r="AB44" s="12">
        <f>IF('Men''s Epée'!$T$3=TRUE,K44,0)</f>
        <v>0</v>
      </c>
      <c r="AC44" s="12">
        <f>IF('Men''s Epée'!$U$3=TRUE,M44,0)</f>
        <v>315</v>
      </c>
      <c r="AD44" s="26">
        <f t="shared" si="19"/>
        <v>0</v>
      </c>
      <c r="AE44" s="26">
        <f t="shared" si="20"/>
        <v>0</v>
      </c>
      <c r="AF44" s="26">
        <f t="shared" si="21"/>
        <v>0</v>
      </c>
      <c r="AG44" s="26">
        <f t="shared" si="22"/>
        <v>0</v>
      </c>
      <c r="AH44" s="12">
        <f t="shared" si="6"/>
        <v>315</v>
      </c>
    </row>
    <row r="45" spans="1:34" ht="13.5">
      <c r="A45" s="16" t="str">
        <f t="shared" si="0"/>
        <v>42</v>
      </c>
      <c r="B45" s="16">
        <f aca="true" t="shared" si="23" ref="B45:B61">TRIM(IF(D45&gt;=JuniorCutoff,"#",""))</f>
      </c>
      <c r="C45" s="17" t="s">
        <v>183</v>
      </c>
      <c r="D45" s="18">
        <v>1970</v>
      </c>
      <c r="E45" s="19">
        <f>ROUND(F45+IF('Men''s Epée'!$A$3=1,G45,0)+LARGE($S45:$Y45,1)+LARGE($S45:$Y45,2),0)</f>
        <v>295</v>
      </c>
      <c r="F45" s="20"/>
      <c r="G45" s="21"/>
      <c r="H45" s="21">
        <v>29</v>
      </c>
      <c r="I45" s="22">
        <f>IF(OR('Men''s Epée'!$A$3=1,'Men''s Epée'!$S$3=TRUE),IF(OR(H45&gt;=49,ISNUMBER(H45)=FALSE),0,VLOOKUP(H45,PointTable,I$3,TRUE)),0)</f>
        <v>295</v>
      </c>
      <c r="J45" s="21" t="s">
        <v>5</v>
      </c>
      <c r="K45" s="22">
        <f>IF(OR('Men''s Epée'!$A$3=1,'Men''s Epée'!$T$3=TRUE),IF(OR(J45&gt;=49,ISNUMBER(J45)=FALSE),0,VLOOKUP(J45,PointTable,K$3,TRUE)),0)</f>
        <v>0</v>
      </c>
      <c r="L45" s="21" t="s">
        <v>5</v>
      </c>
      <c r="M45" s="22">
        <f>IF(OR('Men''s Epée'!$A$3=1,'Men''s Epée'!$U$3=TRUE),IF(OR(L45&gt;=49,ISNUMBER(L45)=FALSE),0,VLOOKUP(L45,PointTable,M$3,TRUE)),0)</f>
        <v>0</v>
      </c>
      <c r="N45" s="23"/>
      <c r="O45" s="23"/>
      <c r="P45" s="23"/>
      <c r="Q45" s="24"/>
      <c r="S45" s="25">
        <f aca="true" t="shared" si="24" ref="S45:S61">I45</f>
        <v>295</v>
      </c>
      <c r="T45" s="25">
        <f aca="true" t="shared" si="25" ref="T45:T61">K45</f>
        <v>0</v>
      </c>
      <c r="U45" s="25">
        <f aca="true" t="shared" si="26" ref="U45:U61">M45</f>
        <v>0</v>
      </c>
      <c r="V45" s="25">
        <f>IF(OR('Men''s Epée'!$A$3=1,N45&gt;0),ABS(N45),0)</f>
        <v>0</v>
      </c>
      <c r="W45" s="25">
        <f>IF(OR('Men''s Epée'!$A$3=1,O45&gt;0),ABS(O45),0)</f>
        <v>0</v>
      </c>
      <c r="X45" s="25">
        <f>IF(OR('Men''s Epée'!$A$3=1,P45&gt;0),ABS(P45),0)</f>
        <v>0</v>
      </c>
      <c r="Y45" s="25">
        <f>IF(OR('Men''s Epée'!$A$3=1,Q45&gt;0),ABS(Q45),0)</f>
        <v>0</v>
      </c>
      <c r="AA45" s="12">
        <f>IF('Men''s Epée'!$S$3=TRUE,I45,0)</f>
        <v>295</v>
      </c>
      <c r="AB45" s="12">
        <f>IF('Men''s Epée'!$T$3=TRUE,K45,0)</f>
        <v>0</v>
      </c>
      <c r="AC45" s="12">
        <f>IF('Men''s Epée'!$U$3=TRUE,M45,0)</f>
        <v>0</v>
      </c>
      <c r="AD45" s="26">
        <f aca="true" t="shared" si="27" ref="AD45:AD61">MAX(N45,0)</f>
        <v>0</v>
      </c>
      <c r="AE45" s="26">
        <f aca="true" t="shared" si="28" ref="AE45:AE61">MAX(O45,0)</f>
        <v>0</v>
      </c>
      <c r="AF45" s="26">
        <f aca="true" t="shared" si="29" ref="AF45:AF61">MAX(P45,0)</f>
        <v>0</v>
      </c>
      <c r="AG45" s="26">
        <f aca="true" t="shared" si="30" ref="AG45:AG61">MAX(Q45,0)</f>
        <v>0</v>
      </c>
      <c r="AH45" s="12">
        <f t="shared" si="6"/>
        <v>295</v>
      </c>
    </row>
    <row r="46" spans="1:34" ht="13.5">
      <c r="A46" s="16" t="str">
        <f t="shared" si="0"/>
        <v>43T</v>
      </c>
      <c r="B46" s="16" t="str">
        <f t="shared" si="23"/>
        <v>#</v>
      </c>
      <c r="C46" s="17" t="s">
        <v>390</v>
      </c>
      <c r="D46" s="18">
        <v>1984</v>
      </c>
      <c r="E46" s="19">
        <f>ROUND(F46+IF('Men''s Epée'!$A$3=1,G46,0)+LARGE($S46:$Y46,1)+LARGE($S46:$Y46,2),0)</f>
        <v>290</v>
      </c>
      <c r="F46" s="20"/>
      <c r="G46" s="21"/>
      <c r="H46" s="21" t="s">
        <v>5</v>
      </c>
      <c r="I46" s="22">
        <f>IF(OR('Men''s Epée'!$A$3=1,'Men''s Epée'!$S$3=TRUE),IF(OR(H46&gt;=49,ISNUMBER(H46)=FALSE),0,VLOOKUP(H46,PointTable,I$3,TRUE)),0)</f>
        <v>0</v>
      </c>
      <c r="J46" s="21" t="s">
        <v>5</v>
      </c>
      <c r="K46" s="22">
        <f>IF(OR('Men''s Epée'!$A$3=1,'Men''s Epée'!$T$3=TRUE),IF(OR(J46&gt;=49,ISNUMBER(J46)=FALSE),0,VLOOKUP(J46,PointTable,K$3,TRUE)),0)</f>
        <v>0</v>
      </c>
      <c r="L46" s="21">
        <v>29</v>
      </c>
      <c r="M46" s="22">
        <f>IF(OR('Men''s Epée'!$A$3=1,'Men''s Epée'!$U$3=TRUE),IF(OR(L46&gt;=49,ISNUMBER(L46)=FALSE),0,VLOOKUP(L46,PointTable,M$3,TRUE)),0)</f>
        <v>290</v>
      </c>
      <c r="N46" s="23"/>
      <c r="O46" s="23"/>
      <c r="P46" s="23"/>
      <c r="Q46" s="24"/>
      <c r="S46" s="25">
        <f t="shared" si="24"/>
        <v>0</v>
      </c>
      <c r="T46" s="25">
        <f t="shared" si="25"/>
        <v>0</v>
      </c>
      <c r="U46" s="25">
        <f t="shared" si="26"/>
        <v>290</v>
      </c>
      <c r="V46" s="25">
        <f>IF(OR('Men''s Epée'!$A$3=1,N46&gt;0),ABS(N46),0)</f>
        <v>0</v>
      </c>
      <c r="W46" s="25">
        <f>IF(OR('Men''s Epée'!$A$3=1,O46&gt;0),ABS(O46),0)</f>
        <v>0</v>
      </c>
      <c r="X46" s="25">
        <f>IF(OR('Men''s Epée'!$A$3=1,P46&gt;0),ABS(P46),0)</f>
        <v>0</v>
      </c>
      <c r="Y46" s="25">
        <f>IF(OR('Men''s Epée'!$A$3=1,Q46&gt;0),ABS(Q46),0)</f>
        <v>0</v>
      </c>
      <c r="AA46" s="12">
        <f>IF('Men''s Epée'!$S$3=TRUE,I46,0)</f>
        <v>0</v>
      </c>
      <c r="AB46" s="12">
        <f>IF('Men''s Epée'!$T$3=TRUE,K46,0)</f>
        <v>0</v>
      </c>
      <c r="AC46" s="12">
        <f>IF('Men''s Epée'!$U$3=TRUE,M46,0)</f>
        <v>290</v>
      </c>
      <c r="AD46" s="26">
        <f t="shared" si="27"/>
        <v>0</v>
      </c>
      <c r="AE46" s="26">
        <f t="shared" si="28"/>
        <v>0</v>
      </c>
      <c r="AF46" s="26">
        <f t="shared" si="29"/>
        <v>0</v>
      </c>
      <c r="AG46" s="26">
        <f t="shared" si="30"/>
        <v>0</v>
      </c>
      <c r="AH46" s="12">
        <f t="shared" si="6"/>
        <v>290</v>
      </c>
    </row>
    <row r="47" spans="1:34" ht="13.5">
      <c r="A47" s="16" t="str">
        <f t="shared" si="0"/>
        <v>43T</v>
      </c>
      <c r="B47" s="16">
        <f t="shared" si="23"/>
      </c>
      <c r="C47" s="17" t="s">
        <v>254</v>
      </c>
      <c r="D47" s="18">
        <v>1959</v>
      </c>
      <c r="E47" s="19">
        <f>ROUND(F47+IF('Men''s Epée'!$A$3=1,G47,0)+LARGE($S47:$Y47,1)+LARGE($S47:$Y47,2),0)</f>
        <v>290</v>
      </c>
      <c r="F47" s="20"/>
      <c r="G47" s="21"/>
      <c r="H47" s="21">
        <v>30</v>
      </c>
      <c r="I47" s="22">
        <f>IF(OR('Men''s Epée'!$A$3=1,'Men''s Epée'!$S$3=TRUE),IF(OR(H47&gt;=49,ISNUMBER(H47)=FALSE),0,VLOOKUP(H47,PointTable,I$3,TRUE)),0)</f>
        <v>290</v>
      </c>
      <c r="J47" s="21" t="s">
        <v>5</v>
      </c>
      <c r="K47" s="22">
        <f>IF(OR('Men''s Epée'!$A$3=1,'Men''s Epée'!$T$3=TRUE),IF(OR(J47&gt;=49,ISNUMBER(J47)=FALSE),0,VLOOKUP(J47,PointTable,K$3,TRUE)),0)</f>
        <v>0</v>
      </c>
      <c r="L47" s="21" t="s">
        <v>5</v>
      </c>
      <c r="M47" s="22">
        <f>IF(OR('Men''s Epée'!$A$3=1,'Men''s Epée'!$U$3=TRUE),IF(OR(L47&gt;=49,ISNUMBER(L47)=FALSE),0,VLOOKUP(L47,PointTable,M$3,TRUE)),0)</f>
        <v>0</v>
      </c>
      <c r="N47" s="23"/>
      <c r="O47" s="23"/>
      <c r="P47" s="23"/>
      <c r="Q47" s="24"/>
      <c r="S47" s="25">
        <f t="shared" si="24"/>
        <v>290</v>
      </c>
      <c r="T47" s="25">
        <f t="shared" si="25"/>
        <v>0</v>
      </c>
      <c r="U47" s="25">
        <f t="shared" si="26"/>
        <v>0</v>
      </c>
      <c r="V47" s="25">
        <f>IF(OR('Men''s Epée'!$A$3=1,N47&gt;0),ABS(N47),0)</f>
        <v>0</v>
      </c>
      <c r="W47" s="25">
        <f>IF(OR('Men''s Epée'!$A$3=1,O47&gt;0),ABS(O47),0)</f>
        <v>0</v>
      </c>
      <c r="X47" s="25">
        <f>IF(OR('Men''s Epée'!$A$3=1,P47&gt;0),ABS(P47),0)</f>
        <v>0</v>
      </c>
      <c r="Y47" s="25">
        <f>IF(OR('Men''s Epée'!$A$3=1,Q47&gt;0),ABS(Q47),0)</f>
        <v>0</v>
      </c>
      <c r="AA47" s="12">
        <f>IF('Men''s Epée'!$S$3=TRUE,I47,0)</f>
        <v>290</v>
      </c>
      <c r="AB47" s="12">
        <f>IF('Men''s Epée'!$T$3=TRUE,K47,0)</f>
        <v>0</v>
      </c>
      <c r="AC47" s="12">
        <f>IF('Men''s Epée'!$U$3=TRUE,M47,0)</f>
        <v>0</v>
      </c>
      <c r="AD47" s="26">
        <f t="shared" si="27"/>
        <v>0</v>
      </c>
      <c r="AE47" s="26">
        <f t="shared" si="28"/>
        <v>0</v>
      </c>
      <c r="AF47" s="26">
        <f t="shared" si="29"/>
        <v>0</v>
      </c>
      <c r="AG47" s="26">
        <f t="shared" si="30"/>
        <v>0</v>
      </c>
      <c r="AH47" s="12">
        <f t="shared" si="6"/>
        <v>290</v>
      </c>
    </row>
    <row r="48" spans="1:34" ht="13.5">
      <c r="A48" s="16" t="str">
        <f t="shared" si="0"/>
        <v>43T</v>
      </c>
      <c r="B48" s="16" t="str">
        <f t="shared" si="23"/>
        <v>#</v>
      </c>
      <c r="C48" s="17" t="s">
        <v>341</v>
      </c>
      <c r="D48" s="18">
        <v>1987</v>
      </c>
      <c r="E48" s="19">
        <f>ROUND(F48+IF('Men''s Epée'!$A$3=1,G48,0)+LARGE($S48:$Y48,1)+LARGE($S48:$Y48,2),0)</f>
        <v>290</v>
      </c>
      <c r="F48" s="20"/>
      <c r="G48" s="21"/>
      <c r="H48" s="21" t="s">
        <v>5</v>
      </c>
      <c r="I48" s="22">
        <f>IF(OR('Men''s Epée'!$A$3=1,'Men''s Epée'!$S$3=TRUE),IF(OR(H48&gt;=49,ISNUMBER(H48)=FALSE),0,VLOOKUP(H48,PointTable,I$3,TRUE)),0)</f>
        <v>0</v>
      </c>
      <c r="J48" s="21">
        <v>30</v>
      </c>
      <c r="K48" s="22">
        <f>IF(OR('Men''s Epée'!$A$3=1,'Men''s Epée'!$T$3=TRUE),IF(OR(J48&gt;=49,ISNUMBER(J48)=FALSE),0,VLOOKUP(J48,PointTable,K$3,TRUE)),0)</f>
        <v>290</v>
      </c>
      <c r="L48" s="21" t="s">
        <v>5</v>
      </c>
      <c r="M48" s="22">
        <f>IF(OR('Men''s Epée'!$A$3=1,'Men''s Epée'!$U$3=TRUE),IF(OR(L48&gt;=49,ISNUMBER(L48)=FALSE),0,VLOOKUP(L48,PointTable,M$3,TRUE)),0)</f>
        <v>0</v>
      </c>
      <c r="N48" s="23"/>
      <c r="O48" s="23"/>
      <c r="P48" s="23"/>
      <c r="Q48" s="24"/>
      <c r="S48" s="25">
        <f t="shared" si="24"/>
        <v>0</v>
      </c>
      <c r="T48" s="25">
        <f t="shared" si="25"/>
        <v>290</v>
      </c>
      <c r="U48" s="25">
        <f t="shared" si="26"/>
        <v>0</v>
      </c>
      <c r="V48" s="25">
        <f>IF(OR('Men''s Epée'!$A$3=1,N48&gt;0),ABS(N48),0)</f>
        <v>0</v>
      </c>
      <c r="W48" s="25">
        <f>IF(OR('Men''s Epée'!$A$3=1,O48&gt;0),ABS(O48),0)</f>
        <v>0</v>
      </c>
      <c r="X48" s="25">
        <f>IF(OR('Men''s Epée'!$A$3=1,P48&gt;0),ABS(P48),0)</f>
        <v>0</v>
      </c>
      <c r="Y48" s="25">
        <f>IF(OR('Men''s Epée'!$A$3=1,Q48&gt;0),ABS(Q48),0)</f>
        <v>0</v>
      </c>
      <c r="AA48" s="12">
        <f>IF('Men''s Epée'!$S$3=TRUE,I48,0)</f>
        <v>0</v>
      </c>
      <c r="AB48" s="12">
        <f>IF('Men''s Epée'!$T$3=TRUE,K48,0)</f>
        <v>290</v>
      </c>
      <c r="AC48" s="12">
        <f>IF('Men''s Epée'!$U$3=TRUE,M48,0)</f>
        <v>0</v>
      </c>
      <c r="AD48" s="26">
        <f t="shared" si="27"/>
        <v>0</v>
      </c>
      <c r="AE48" s="26">
        <f t="shared" si="28"/>
        <v>0</v>
      </c>
      <c r="AF48" s="26">
        <f t="shared" si="29"/>
        <v>0</v>
      </c>
      <c r="AG48" s="26">
        <f t="shared" si="30"/>
        <v>0</v>
      </c>
      <c r="AH48" s="12">
        <f aca="true" t="shared" si="31" ref="AH48:AH61">LARGE(AA48:AG48,1)+LARGE(AA48:AG48,2)+F48</f>
        <v>290</v>
      </c>
    </row>
    <row r="49" spans="1:34" ht="13.5">
      <c r="A49" s="16" t="str">
        <f t="shared" si="0"/>
        <v>46T</v>
      </c>
      <c r="B49" s="16">
        <f t="shared" si="23"/>
      </c>
      <c r="C49" s="17" t="s">
        <v>157</v>
      </c>
      <c r="D49" s="18">
        <v>1981</v>
      </c>
      <c r="E49" s="19">
        <f>ROUND(F49+IF('Men''s Epée'!$A$3=1,G49,0)+LARGE($S49:$Y49,1)+LARGE($S49:$Y49,2),0)</f>
        <v>285</v>
      </c>
      <c r="F49" s="20"/>
      <c r="G49" s="21"/>
      <c r="H49" s="21">
        <v>31</v>
      </c>
      <c r="I49" s="22">
        <f>IF(OR('Men''s Epée'!$A$3=1,'Men''s Epée'!$S$3=TRUE),IF(OR(H49&gt;=49,ISNUMBER(H49)=FALSE),0,VLOOKUP(H49,PointTable,I$3,TRUE)),0)</f>
        <v>285</v>
      </c>
      <c r="J49" s="21" t="s">
        <v>5</v>
      </c>
      <c r="K49" s="22">
        <f>IF(OR('Men''s Epée'!$A$3=1,'Men''s Epée'!$T$3=TRUE),IF(OR(J49&gt;=49,ISNUMBER(J49)=FALSE),0,VLOOKUP(J49,PointTable,K$3,TRUE)),0)</f>
        <v>0</v>
      </c>
      <c r="L49" s="21" t="s">
        <v>5</v>
      </c>
      <c r="M49" s="22">
        <f>IF(OR('Men''s Epée'!$A$3=1,'Men''s Epée'!$U$3=TRUE),IF(OR(L49&gt;=49,ISNUMBER(L49)=FALSE),0,VLOOKUP(L49,PointTable,M$3,TRUE)),0)</f>
        <v>0</v>
      </c>
      <c r="N49" s="23"/>
      <c r="O49" s="23"/>
      <c r="P49" s="23"/>
      <c r="Q49" s="24"/>
      <c r="S49" s="25">
        <f t="shared" si="24"/>
        <v>285</v>
      </c>
      <c r="T49" s="25">
        <f t="shared" si="25"/>
        <v>0</v>
      </c>
      <c r="U49" s="25">
        <f t="shared" si="26"/>
        <v>0</v>
      </c>
      <c r="V49" s="25">
        <f>IF(OR('Men''s Epée'!$A$3=1,N49&gt;0),ABS(N49),0)</f>
        <v>0</v>
      </c>
      <c r="W49" s="25">
        <f>IF(OR('Men''s Epée'!$A$3=1,O49&gt;0),ABS(O49),0)</f>
        <v>0</v>
      </c>
      <c r="X49" s="25">
        <f>IF(OR('Men''s Epée'!$A$3=1,P49&gt;0),ABS(P49),0)</f>
        <v>0</v>
      </c>
      <c r="Y49" s="25">
        <f>IF(OR('Men''s Epée'!$A$3=1,Q49&gt;0),ABS(Q49),0)</f>
        <v>0</v>
      </c>
      <c r="AA49" s="12">
        <f>IF('Men''s Epée'!$S$3=TRUE,I49,0)</f>
        <v>285</v>
      </c>
      <c r="AB49" s="12">
        <f>IF('Men''s Epée'!$T$3=TRUE,K49,0)</f>
        <v>0</v>
      </c>
      <c r="AC49" s="12">
        <f>IF('Men''s Epée'!$U$3=TRUE,M49,0)</f>
        <v>0</v>
      </c>
      <c r="AD49" s="26">
        <f t="shared" si="27"/>
        <v>0</v>
      </c>
      <c r="AE49" s="26">
        <f t="shared" si="28"/>
        <v>0</v>
      </c>
      <c r="AF49" s="26">
        <f t="shared" si="29"/>
        <v>0</v>
      </c>
      <c r="AG49" s="26">
        <f t="shared" si="30"/>
        <v>0</v>
      </c>
      <c r="AH49" s="12">
        <f t="shared" si="31"/>
        <v>285</v>
      </c>
    </row>
    <row r="50" spans="1:34" ht="13.5">
      <c r="A50" s="16" t="str">
        <f t="shared" si="0"/>
        <v>46T</v>
      </c>
      <c r="B50" s="16">
        <f t="shared" si="23"/>
      </c>
      <c r="C50" s="17" t="s">
        <v>342</v>
      </c>
      <c r="D50" s="18">
        <v>1981</v>
      </c>
      <c r="E50" s="19">
        <f>ROUND(F50+IF('Men''s Epée'!$A$3=1,G50,0)+LARGE($S50:$Y50,1)+LARGE($S50:$Y50,2),0)</f>
        <v>285</v>
      </c>
      <c r="F50" s="20"/>
      <c r="G50" s="21"/>
      <c r="H50" s="21" t="s">
        <v>5</v>
      </c>
      <c r="I50" s="22">
        <f>IF(OR('Men''s Epée'!$A$3=1,'Men''s Epée'!$S$3=TRUE),IF(OR(H50&gt;=49,ISNUMBER(H50)=FALSE),0,VLOOKUP(H50,PointTable,I$3,TRUE)),0)</f>
        <v>0</v>
      </c>
      <c r="J50" s="21">
        <v>31</v>
      </c>
      <c r="K50" s="22">
        <f>IF(OR('Men''s Epée'!$A$3=1,'Men''s Epée'!$T$3=TRUE),IF(OR(J50&gt;=49,ISNUMBER(J50)=FALSE),0,VLOOKUP(J50,PointTable,K$3,TRUE)),0)</f>
        <v>285</v>
      </c>
      <c r="L50" s="21" t="s">
        <v>5</v>
      </c>
      <c r="M50" s="22">
        <f>IF(OR('Men''s Epée'!$A$3=1,'Men''s Epée'!$U$3=TRUE),IF(OR(L50&gt;=49,ISNUMBER(L50)=FALSE),0,VLOOKUP(L50,PointTable,M$3,TRUE)),0)</f>
        <v>0</v>
      </c>
      <c r="N50" s="23"/>
      <c r="O50" s="23"/>
      <c r="P50" s="23"/>
      <c r="Q50" s="24"/>
      <c r="S50" s="25">
        <f t="shared" si="24"/>
        <v>0</v>
      </c>
      <c r="T50" s="25">
        <f t="shared" si="25"/>
        <v>285</v>
      </c>
      <c r="U50" s="25">
        <f t="shared" si="26"/>
        <v>0</v>
      </c>
      <c r="V50" s="25">
        <f>IF(OR('Men''s Epée'!$A$3=1,N50&gt;0),ABS(N50),0)</f>
        <v>0</v>
      </c>
      <c r="W50" s="25">
        <f>IF(OR('Men''s Epée'!$A$3=1,O50&gt;0),ABS(O50),0)</f>
        <v>0</v>
      </c>
      <c r="X50" s="25">
        <f>IF(OR('Men''s Epée'!$A$3=1,P50&gt;0),ABS(P50),0)</f>
        <v>0</v>
      </c>
      <c r="Y50" s="25">
        <f>IF(OR('Men''s Epée'!$A$3=1,Q50&gt;0),ABS(Q50),0)</f>
        <v>0</v>
      </c>
      <c r="AA50" s="12">
        <f>IF('Men''s Epée'!$S$3=TRUE,I50,0)</f>
        <v>0</v>
      </c>
      <c r="AB50" s="12">
        <f>IF('Men''s Epée'!$T$3=TRUE,K50,0)</f>
        <v>285</v>
      </c>
      <c r="AC50" s="12">
        <f>IF('Men''s Epée'!$U$3=TRUE,M50,0)</f>
        <v>0</v>
      </c>
      <c r="AD50" s="26">
        <f t="shared" si="27"/>
        <v>0</v>
      </c>
      <c r="AE50" s="26">
        <f t="shared" si="28"/>
        <v>0</v>
      </c>
      <c r="AF50" s="26">
        <f t="shared" si="29"/>
        <v>0</v>
      </c>
      <c r="AG50" s="26">
        <f t="shared" si="30"/>
        <v>0</v>
      </c>
      <c r="AH50" s="12">
        <f t="shared" si="31"/>
        <v>285</v>
      </c>
    </row>
    <row r="51" spans="1:34" ht="13.5">
      <c r="A51" s="16" t="str">
        <f t="shared" si="0"/>
        <v>48</v>
      </c>
      <c r="B51" s="16">
        <f t="shared" si="23"/>
      </c>
      <c r="C51" s="17" t="s">
        <v>155</v>
      </c>
      <c r="D51" s="18">
        <v>1979</v>
      </c>
      <c r="E51" s="19">
        <f>ROUND(F51+IF('Men''s Epée'!$A$3=1,G51,0)+LARGE($S51:$Y51,1)+LARGE($S51:$Y51,2),0)</f>
        <v>280</v>
      </c>
      <c r="F51" s="20"/>
      <c r="G51" s="21"/>
      <c r="H51" s="21" t="s">
        <v>5</v>
      </c>
      <c r="I51" s="22">
        <f>IF(OR('Men''s Epée'!$A$3=1,'Men''s Epée'!$S$3=TRUE),IF(OR(H51&gt;=49,ISNUMBER(H51)=FALSE),0,VLOOKUP(H51,PointTable,I$3,TRUE)),0)</f>
        <v>0</v>
      </c>
      <c r="J51" s="21">
        <v>32</v>
      </c>
      <c r="K51" s="22">
        <f>IF(OR('Men''s Epée'!$A$3=1,'Men''s Epée'!$T$3=TRUE),IF(OR(J51&gt;=49,ISNUMBER(J51)=FALSE),0,VLOOKUP(J51,PointTable,K$3,TRUE)),0)</f>
        <v>280</v>
      </c>
      <c r="L51" s="21" t="s">
        <v>5</v>
      </c>
      <c r="M51" s="22">
        <f>IF(OR('Men''s Epée'!$A$3=1,'Men''s Epée'!$U$3=TRUE),IF(OR(L51&gt;=49,ISNUMBER(L51)=FALSE),0,VLOOKUP(L51,PointTable,M$3,TRUE)),0)</f>
        <v>0</v>
      </c>
      <c r="N51" s="23"/>
      <c r="O51" s="23"/>
      <c r="P51" s="23"/>
      <c r="Q51" s="24"/>
      <c r="S51" s="25">
        <f t="shared" si="24"/>
        <v>0</v>
      </c>
      <c r="T51" s="25">
        <f t="shared" si="25"/>
        <v>280</v>
      </c>
      <c r="U51" s="25">
        <f t="shared" si="26"/>
        <v>0</v>
      </c>
      <c r="V51" s="25">
        <f>IF(OR('Men''s Epée'!$A$3=1,N51&gt;0),ABS(N51),0)</f>
        <v>0</v>
      </c>
      <c r="W51" s="25">
        <f>IF(OR('Men''s Epée'!$A$3=1,O51&gt;0),ABS(O51),0)</f>
        <v>0</v>
      </c>
      <c r="X51" s="25">
        <f>IF(OR('Men''s Epée'!$A$3=1,P51&gt;0),ABS(P51),0)</f>
        <v>0</v>
      </c>
      <c r="Y51" s="25">
        <f>IF(OR('Men''s Epée'!$A$3=1,Q51&gt;0),ABS(Q51),0)</f>
        <v>0</v>
      </c>
      <c r="AA51" s="12">
        <f>IF('Men''s Epée'!$S$3=TRUE,I51,0)</f>
        <v>0</v>
      </c>
      <c r="AB51" s="12">
        <f>IF('Men''s Epée'!$T$3=TRUE,K51,0)</f>
        <v>280</v>
      </c>
      <c r="AC51" s="12">
        <f>IF('Men''s Epée'!$U$3=TRUE,M51,0)</f>
        <v>0</v>
      </c>
      <c r="AD51" s="26">
        <f t="shared" si="27"/>
        <v>0</v>
      </c>
      <c r="AE51" s="26">
        <f t="shared" si="28"/>
        <v>0</v>
      </c>
      <c r="AF51" s="26">
        <f t="shared" si="29"/>
        <v>0</v>
      </c>
      <c r="AG51" s="26">
        <f t="shared" si="30"/>
        <v>0</v>
      </c>
      <c r="AH51" s="12">
        <f t="shared" si="31"/>
        <v>280</v>
      </c>
    </row>
    <row r="52" spans="1:34" ht="13.5">
      <c r="A52" s="16" t="str">
        <f t="shared" si="0"/>
        <v>49</v>
      </c>
      <c r="B52" s="16">
        <f t="shared" si="23"/>
      </c>
      <c r="C52" s="17" t="s">
        <v>221</v>
      </c>
      <c r="D52" s="18">
        <v>1969</v>
      </c>
      <c r="E52" s="19">
        <f>ROUND(F52+IF('Men''s Epée'!$A$3=1,G52,0)+LARGE($S52:$Y52,1)+LARGE($S52:$Y52,2),0)</f>
        <v>275</v>
      </c>
      <c r="F52" s="20"/>
      <c r="G52" s="21"/>
      <c r="H52" s="21" t="s">
        <v>5</v>
      </c>
      <c r="I52" s="22">
        <f>IF(OR('Men''s Epée'!$A$3=1,'Men''s Epée'!$S$3=TRUE),IF(OR(H52&gt;=49,ISNUMBER(H52)=FALSE),0,VLOOKUP(H52,PointTable,I$3,TRUE)),0)</f>
        <v>0</v>
      </c>
      <c r="J52" s="21" t="s">
        <v>5</v>
      </c>
      <c r="K52" s="22">
        <f>IF(OR('Men''s Epée'!$A$3=1,'Men''s Epée'!$T$3=TRUE),IF(OR(J52&gt;=49,ISNUMBER(J52)=FALSE),0,VLOOKUP(J52,PointTable,K$3,TRUE)),0)</f>
        <v>0</v>
      </c>
      <c r="L52" s="21">
        <v>32</v>
      </c>
      <c r="M52" s="22">
        <f>IF(OR('Men''s Epée'!$A$3=1,'Men''s Epée'!$U$3=TRUE),IF(OR(L52&gt;=49,ISNUMBER(L52)=FALSE),0,VLOOKUP(L52,PointTable,M$3,TRUE)),0)</f>
        <v>275</v>
      </c>
      <c r="N52" s="23"/>
      <c r="O52" s="23"/>
      <c r="P52" s="23"/>
      <c r="Q52" s="24"/>
      <c r="S52" s="25">
        <f t="shared" si="24"/>
        <v>0</v>
      </c>
      <c r="T52" s="25">
        <f t="shared" si="25"/>
        <v>0</v>
      </c>
      <c r="U52" s="25">
        <f t="shared" si="26"/>
        <v>275</v>
      </c>
      <c r="V52" s="25">
        <f>IF(OR('Men''s Epée'!$A$3=1,N52&gt;0),ABS(N52),0)</f>
        <v>0</v>
      </c>
      <c r="W52" s="25">
        <f>IF(OR('Men''s Epée'!$A$3=1,O52&gt;0),ABS(O52),0)</f>
        <v>0</v>
      </c>
      <c r="X52" s="25">
        <f>IF(OR('Men''s Epée'!$A$3=1,P52&gt;0),ABS(P52),0)</f>
        <v>0</v>
      </c>
      <c r="Y52" s="25">
        <f>IF(OR('Men''s Epée'!$A$3=1,Q52&gt;0),ABS(Q52),0)</f>
        <v>0</v>
      </c>
      <c r="AA52" s="12">
        <f>IF('Men''s Epée'!$S$3=TRUE,I52,0)</f>
        <v>0</v>
      </c>
      <c r="AB52" s="12">
        <f>IF('Men''s Epée'!$T$3=TRUE,K52,0)</f>
        <v>0</v>
      </c>
      <c r="AC52" s="12">
        <f>IF('Men''s Epée'!$U$3=TRUE,M52,0)</f>
        <v>275</v>
      </c>
      <c r="AD52" s="26">
        <f t="shared" si="27"/>
        <v>0</v>
      </c>
      <c r="AE52" s="26">
        <f t="shared" si="28"/>
        <v>0</v>
      </c>
      <c r="AF52" s="26">
        <f t="shared" si="29"/>
        <v>0</v>
      </c>
      <c r="AG52" s="26">
        <f t="shared" si="30"/>
        <v>0</v>
      </c>
      <c r="AH52" s="12">
        <f t="shared" si="31"/>
        <v>275</v>
      </c>
    </row>
    <row r="53" spans="1:34" ht="13.5">
      <c r="A53" s="16" t="str">
        <f t="shared" si="0"/>
        <v>50</v>
      </c>
      <c r="B53" s="16" t="str">
        <f t="shared" si="23"/>
        <v>#</v>
      </c>
      <c r="C53" s="17" t="s">
        <v>132</v>
      </c>
      <c r="D53" s="18">
        <v>1983</v>
      </c>
      <c r="E53" s="19">
        <f>ROUND(F53+IF('Men''s Epée'!$A$3=1,G53,0)+LARGE($S53:$Y53,1)+LARGE($S53:$Y53,2),0)</f>
        <v>270</v>
      </c>
      <c r="F53" s="20"/>
      <c r="G53" s="21"/>
      <c r="H53" s="21" t="s">
        <v>5</v>
      </c>
      <c r="I53" s="22">
        <f>IF(OR('Men''s Epée'!$A$3=1,'Men''s Epée'!$S$3=TRUE),IF(OR(H53&gt;=49,ISNUMBER(H53)=FALSE),0,VLOOKUP(H53,PointTable,I$3,TRUE)),0)</f>
        <v>0</v>
      </c>
      <c r="J53" s="21">
        <v>34</v>
      </c>
      <c r="K53" s="22">
        <f>IF(OR('Men''s Epée'!$A$3=1,'Men''s Epée'!$T$3=TRUE),IF(OR(J53&gt;=49,ISNUMBER(J53)=FALSE),0,VLOOKUP(J53,PointTable,K$3,TRUE)),0)</f>
        <v>270</v>
      </c>
      <c r="L53" s="21" t="s">
        <v>5</v>
      </c>
      <c r="M53" s="22">
        <f>IF(OR('Men''s Epée'!$A$3=1,'Men''s Epée'!$U$3=TRUE),IF(OR(L53&gt;=49,ISNUMBER(L53)=FALSE),0,VLOOKUP(L53,PointTable,M$3,TRUE)),0)</f>
        <v>0</v>
      </c>
      <c r="N53" s="23"/>
      <c r="O53" s="23"/>
      <c r="P53" s="23"/>
      <c r="Q53" s="24"/>
      <c r="S53" s="25">
        <f t="shared" si="24"/>
        <v>0</v>
      </c>
      <c r="T53" s="25">
        <f t="shared" si="25"/>
        <v>270</v>
      </c>
      <c r="U53" s="25">
        <f t="shared" si="26"/>
        <v>0</v>
      </c>
      <c r="V53" s="25">
        <f>IF(OR('Men''s Epée'!$A$3=1,N53&gt;0),ABS(N53),0)</f>
        <v>0</v>
      </c>
      <c r="W53" s="25">
        <f>IF(OR('Men''s Epée'!$A$3=1,O53&gt;0),ABS(O53),0)</f>
        <v>0</v>
      </c>
      <c r="X53" s="25">
        <f>IF(OR('Men''s Epée'!$A$3=1,P53&gt;0),ABS(P53),0)</f>
        <v>0</v>
      </c>
      <c r="Y53" s="25">
        <f>IF(OR('Men''s Epée'!$A$3=1,Q53&gt;0),ABS(Q53),0)</f>
        <v>0</v>
      </c>
      <c r="AA53" s="12">
        <f>IF('Men''s Epée'!$S$3=TRUE,I53,0)</f>
        <v>0</v>
      </c>
      <c r="AB53" s="12">
        <f>IF('Men''s Epée'!$T$3=TRUE,K53,0)</f>
        <v>270</v>
      </c>
      <c r="AC53" s="12">
        <f>IF('Men''s Epée'!$U$3=TRUE,M53,0)</f>
        <v>0</v>
      </c>
      <c r="AD53" s="26">
        <f t="shared" si="27"/>
        <v>0</v>
      </c>
      <c r="AE53" s="26">
        <f t="shared" si="28"/>
        <v>0</v>
      </c>
      <c r="AF53" s="26">
        <f t="shared" si="29"/>
        <v>0</v>
      </c>
      <c r="AG53" s="26">
        <f t="shared" si="30"/>
        <v>0</v>
      </c>
      <c r="AH53" s="12">
        <f t="shared" si="31"/>
        <v>270</v>
      </c>
    </row>
    <row r="54" spans="1:34" ht="13.5">
      <c r="A54" s="16" t="str">
        <f t="shared" si="0"/>
        <v>51</v>
      </c>
      <c r="B54" s="16" t="str">
        <f t="shared" si="23"/>
        <v>#</v>
      </c>
      <c r="C54" s="17" t="s">
        <v>222</v>
      </c>
      <c r="D54" s="18">
        <v>1985</v>
      </c>
      <c r="E54" s="19">
        <f>ROUND(F54+IF('Men''s Epée'!$A$3=1,G54,0)+LARGE($S54:$Y54,1)+LARGE($S54:$Y54,2),0)</f>
        <v>260</v>
      </c>
      <c r="F54" s="20"/>
      <c r="G54" s="21"/>
      <c r="H54" s="21">
        <v>36</v>
      </c>
      <c r="I54" s="22">
        <f>IF(OR('Men''s Epée'!$A$3=1,'Men''s Epée'!$S$3=TRUE),IF(OR(H54&gt;=49,ISNUMBER(H54)=FALSE),0,VLOOKUP(H54,PointTable,I$3,TRUE)),0)</f>
        <v>260</v>
      </c>
      <c r="J54" s="21" t="s">
        <v>5</v>
      </c>
      <c r="K54" s="22">
        <f>IF(OR('Men''s Epée'!$A$3=1,'Men''s Epée'!$T$3=TRUE),IF(OR(J54&gt;=49,ISNUMBER(J54)=FALSE),0,VLOOKUP(J54,PointTable,K$3,TRUE)),0)</f>
        <v>0</v>
      </c>
      <c r="L54" s="21" t="s">
        <v>5</v>
      </c>
      <c r="M54" s="22">
        <f>IF(OR('Men''s Epée'!$A$3=1,'Men''s Epée'!$U$3=TRUE),IF(OR(L54&gt;=49,ISNUMBER(L54)=FALSE),0,VLOOKUP(L54,PointTable,M$3,TRUE)),0)</f>
        <v>0</v>
      </c>
      <c r="N54" s="23"/>
      <c r="O54" s="23"/>
      <c r="P54" s="23"/>
      <c r="Q54" s="24"/>
      <c r="S54" s="25">
        <f t="shared" si="24"/>
        <v>260</v>
      </c>
      <c r="T54" s="25">
        <f t="shared" si="25"/>
        <v>0</v>
      </c>
      <c r="U54" s="25">
        <f t="shared" si="26"/>
        <v>0</v>
      </c>
      <c r="V54" s="25">
        <f>IF(OR('Men''s Epée'!$A$3=1,N54&gt;0),ABS(N54),0)</f>
        <v>0</v>
      </c>
      <c r="W54" s="25">
        <f>IF(OR('Men''s Epée'!$A$3=1,O54&gt;0),ABS(O54),0)</f>
        <v>0</v>
      </c>
      <c r="X54" s="25">
        <f>IF(OR('Men''s Epée'!$A$3=1,P54&gt;0),ABS(P54),0)</f>
        <v>0</v>
      </c>
      <c r="Y54" s="25">
        <f>IF(OR('Men''s Epée'!$A$3=1,Q54&gt;0),ABS(Q54),0)</f>
        <v>0</v>
      </c>
      <c r="AA54" s="12">
        <f>IF('Men''s Epée'!$S$3=TRUE,I54,0)</f>
        <v>260</v>
      </c>
      <c r="AB54" s="12">
        <f>IF('Men''s Epée'!$T$3=TRUE,K54,0)</f>
        <v>0</v>
      </c>
      <c r="AC54" s="12">
        <f>IF('Men''s Epée'!$U$3=TRUE,M54,0)</f>
        <v>0</v>
      </c>
      <c r="AD54" s="26">
        <f t="shared" si="27"/>
        <v>0</v>
      </c>
      <c r="AE54" s="26">
        <f t="shared" si="28"/>
        <v>0</v>
      </c>
      <c r="AF54" s="26">
        <f t="shared" si="29"/>
        <v>0</v>
      </c>
      <c r="AG54" s="26">
        <f t="shared" si="30"/>
        <v>0</v>
      </c>
      <c r="AH54" s="12">
        <f t="shared" si="31"/>
        <v>260</v>
      </c>
    </row>
    <row r="55" spans="1:34" ht="13.5">
      <c r="A55" s="16" t="str">
        <f t="shared" si="0"/>
        <v>52</v>
      </c>
      <c r="B55" s="16">
        <f t="shared" si="23"/>
      </c>
      <c r="C55" s="17" t="s">
        <v>256</v>
      </c>
      <c r="D55" s="18">
        <v>1969</v>
      </c>
      <c r="E55" s="19">
        <f>ROUND(F55+IF('Men''s Epée'!$A$3=1,G55,0)+LARGE($S55:$Y55,1)+LARGE($S55:$Y55,2),0)</f>
        <v>255</v>
      </c>
      <c r="F55" s="20"/>
      <c r="G55" s="21"/>
      <c r="H55" s="21">
        <v>37</v>
      </c>
      <c r="I55" s="22">
        <f>IF(OR('Men''s Epée'!$A$3=1,'Men''s Epée'!$S$3=TRUE),IF(OR(H55&gt;=49,ISNUMBER(H55)=FALSE),0,VLOOKUP(H55,PointTable,I$3,TRUE)),0)</f>
        <v>255</v>
      </c>
      <c r="J55" s="21" t="s">
        <v>5</v>
      </c>
      <c r="K55" s="22">
        <f>IF(OR('Men''s Epée'!$A$3=1,'Men''s Epée'!$T$3=TRUE),IF(OR(J55&gt;=49,ISNUMBER(J55)=FALSE),0,VLOOKUP(J55,PointTable,K$3,TRUE)),0)</f>
        <v>0</v>
      </c>
      <c r="L55" s="21" t="s">
        <v>5</v>
      </c>
      <c r="M55" s="22">
        <f>IF(OR('Men''s Epée'!$A$3=1,'Men''s Epée'!$U$3=TRUE),IF(OR(L55&gt;=49,ISNUMBER(L55)=FALSE),0,VLOOKUP(L55,PointTable,M$3,TRUE)),0)</f>
        <v>0</v>
      </c>
      <c r="N55" s="23"/>
      <c r="O55" s="23"/>
      <c r="P55" s="23"/>
      <c r="Q55" s="24"/>
      <c r="S55" s="25">
        <f t="shared" si="24"/>
        <v>255</v>
      </c>
      <c r="T55" s="25">
        <f t="shared" si="25"/>
        <v>0</v>
      </c>
      <c r="U55" s="25">
        <f t="shared" si="26"/>
        <v>0</v>
      </c>
      <c r="V55" s="25">
        <f>IF(OR('Men''s Epée'!$A$3=1,N55&gt;0),ABS(N55),0)</f>
        <v>0</v>
      </c>
      <c r="W55" s="25">
        <f>IF(OR('Men''s Epée'!$A$3=1,O55&gt;0),ABS(O55),0)</f>
        <v>0</v>
      </c>
      <c r="X55" s="25">
        <f>IF(OR('Men''s Epée'!$A$3=1,P55&gt;0),ABS(P55),0)</f>
        <v>0</v>
      </c>
      <c r="Y55" s="25">
        <f>IF(OR('Men''s Epée'!$A$3=1,Q55&gt;0),ABS(Q55),0)</f>
        <v>0</v>
      </c>
      <c r="AA55" s="12">
        <f>IF('Men''s Epée'!$S$3=TRUE,I55,0)</f>
        <v>255</v>
      </c>
      <c r="AB55" s="12">
        <f>IF('Men''s Epée'!$T$3=TRUE,K55,0)</f>
        <v>0</v>
      </c>
      <c r="AC55" s="12">
        <f>IF('Men''s Epée'!$U$3=TRUE,M55,0)</f>
        <v>0</v>
      </c>
      <c r="AD55" s="26">
        <f t="shared" si="27"/>
        <v>0</v>
      </c>
      <c r="AE55" s="26">
        <f t="shared" si="28"/>
        <v>0</v>
      </c>
      <c r="AF55" s="26">
        <f t="shared" si="29"/>
        <v>0</v>
      </c>
      <c r="AG55" s="26">
        <f t="shared" si="30"/>
        <v>0</v>
      </c>
      <c r="AH55" s="12">
        <f t="shared" si="31"/>
        <v>255</v>
      </c>
    </row>
    <row r="56" spans="1:34" ht="13.5">
      <c r="A56" s="16" t="str">
        <f t="shared" si="0"/>
        <v>53</v>
      </c>
      <c r="B56" s="16">
        <f t="shared" si="23"/>
      </c>
      <c r="C56" s="17" t="s">
        <v>181</v>
      </c>
      <c r="D56" s="18">
        <v>1976</v>
      </c>
      <c r="E56" s="19">
        <f>ROUND(F56+IF('Men''s Epée'!$A$3=1,G56,0)+LARGE($S56:$Y56,1)+LARGE($S56:$Y56,2),0)</f>
        <v>250</v>
      </c>
      <c r="F56" s="20"/>
      <c r="G56" s="21"/>
      <c r="H56" s="21">
        <v>38</v>
      </c>
      <c r="I56" s="22">
        <f>IF(OR('Men''s Epée'!$A$3=1,'Men''s Epée'!$S$3=TRUE),IF(OR(H56&gt;=49,ISNUMBER(H56)=FALSE),0,VLOOKUP(H56,PointTable,I$3,TRUE)),0)</f>
        <v>250</v>
      </c>
      <c r="J56" s="21" t="s">
        <v>5</v>
      </c>
      <c r="K56" s="22">
        <f>IF(OR('Men''s Epée'!$A$3=1,'Men''s Epée'!$T$3=TRUE),IF(OR(J56&gt;=49,ISNUMBER(J56)=FALSE),0,VLOOKUP(J56,PointTable,K$3,TRUE)),0)</f>
        <v>0</v>
      </c>
      <c r="L56" s="21" t="s">
        <v>5</v>
      </c>
      <c r="M56" s="22">
        <f>IF(OR('Men''s Epée'!$A$3=1,'Men''s Epée'!$U$3=TRUE),IF(OR(L56&gt;=49,ISNUMBER(L56)=FALSE),0,VLOOKUP(L56,PointTable,M$3,TRUE)),0)</f>
        <v>0</v>
      </c>
      <c r="N56" s="23"/>
      <c r="O56" s="23"/>
      <c r="P56" s="23"/>
      <c r="Q56" s="24"/>
      <c r="S56" s="25">
        <f t="shared" si="24"/>
        <v>250</v>
      </c>
      <c r="T56" s="25">
        <f t="shared" si="25"/>
        <v>0</v>
      </c>
      <c r="U56" s="25">
        <f t="shared" si="26"/>
        <v>0</v>
      </c>
      <c r="V56" s="25">
        <f>IF(OR('Men''s Epée'!$A$3=1,N56&gt;0),ABS(N56),0)</f>
        <v>0</v>
      </c>
      <c r="W56" s="25">
        <f>IF(OR('Men''s Epée'!$A$3=1,O56&gt;0),ABS(O56),0)</f>
        <v>0</v>
      </c>
      <c r="X56" s="25">
        <f>IF(OR('Men''s Epée'!$A$3=1,P56&gt;0),ABS(P56),0)</f>
        <v>0</v>
      </c>
      <c r="Y56" s="25">
        <f>IF(OR('Men''s Epée'!$A$3=1,Q56&gt;0),ABS(Q56),0)</f>
        <v>0</v>
      </c>
      <c r="AA56" s="12">
        <f>IF('Men''s Epée'!$S$3=TRUE,I56,0)</f>
        <v>250</v>
      </c>
      <c r="AB56" s="12">
        <f>IF('Men''s Epée'!$T$3=TRUE,K56,0)</f>
        <v>0</v>
      </c>
      <c r="AC56" s="12">
        <f>IF('Men''s Epée'!$U$3=TRUE,M56,0)</f>
        <v>0</v>
      </c>
      <c r="AD56" s="26">
        <f t="shared" si="27"/>
        <v>0</v>
      </c>
      <c r="AE56" s="26">
        <f t="shared" si="28"/>
        <v>0</v>
      </c>
      <c r="AF56" s="26">
        <f t="shared" si="29"/>
        <v>0</v>
      </c>
      <c r="AG56" s="26">
        <f t="shared" si="30"/>
        <v>0</v>
      </c>
      <c r="AH56" s="12">
        <f t="shared" si="31"/>
        <v>250</v>
      </c>
    </row>
    <row r="57" spans="1:34" ht="13.5">
      <c r="A57" s="16" t="str">
        <f t="shared" si="0"/>
        <v>54T</v>
      </c>
      <c r="B57" s="16" t="str">
        <f t="shared" si="23"/>
        <v>#</v>
      </c>
      <c r="C57" s="17" t="s">
        <v>257</v>
      </c>
      <c r="D57" s="18">
        <v>1984</v>
      </c>
      <c r="E57" s="19">
        <f>ROUND(F57+IF('Men''s Epée'!$A$3=1,G57,0)+LARGE($S57:$Y57,1)+LARGE($S57:$Y57,2),0)</f>
        <v>230</v>
      </c>
      <c r="F57" s="20"/>
      <c r="G57" s="21"/>
      <c r="H57" s="21">
        <v>42</v>
      </c>
      <c r="I57" s="22">
        <f>IF(OR('Men''s Epée'!$A$3=1,'Men''s Epée'!$S$3=TRUE),IF(OR(H57&gt;=49,ISNUMBER(H57)=FALSE),0,VLOOKUP(H57,PointTable,I$3,TRUE)),0)</f>
        <v>230</v>
      </c>
      <c r="J57" s="21" t="s">
        <v>5</v>
      </c>
      <c r="K57" s="22">
        <f>IF(OR('Men''s Epée'!$A$3=1,'Men''s Epée'!$T$3=TRUE),IF(OR(J57&gt;=49,ISNUMBER(J57)=FALSE),0,VLOOKUP(J57,PointTable,K$3,TRUE)),0)</f>
        <v>0</v>
      </c>
      <c r="L57" s="21" t="s">
        <v>5</v>
      </c>
      <c r="M57" s="22">
        <f>IF(OR('Men''s Epée'!$A$3=1,'Men''s Epée'!$U$3=TRUE),IF(OR(L57&gt;=49,ISNUMBER(L57)=FALSE),0,VLOOKUP(L57,PointTable,M$3,TRUE)),0)</f>
        <v>0</v>
      </c>
      <c r="N57" s="23"/>
      <c r="O57" s="23"/>
      <c r="P57" s="23"/>
      <c r="Q57" s="24"/>
      <c r="S57" s="25">
        <f t="shared" si="24"/>
        <v>230</v>
      </c>
      <c r="T57" s="25">
        <f t="shared" si="25"/>
        <v>0</v>
      </c>
      <c r="U57" s="25">
        <f t="shared" si="26"/>
        <v>0</v>
      </c>
      <c r="V57" s="25">
        <f>IF(OR('Men''s Epée'!$A$3=1,N57&gt;0),ABS(N57),0)</f>
        <v>0</v>
      </c>
      <c r="W57" s="25">
        <f>IF(OR('Men''s Epée'!$A$3=1,O57&gt;0),ABS(O57),0)</f>
        <v>0</v>
      </c>
      <c r="X57" s="25">
        <f>IF(OR('Men''s Epée'!$A$3=1,P57&gt;0),ABS(P57),0)</f>
        <v>0</v>
      </c>
      <c r="Y57" s="25">
        <f>IF(OR('Men''s Epée'!$A$3=1,Q57&gt;0),ABS(Q57),0)</f>
        <v>0</v>
      </c>
      <c r="AA57" s="12">
        <f>IF('Men''s Epée'!$S$3=TRUE,I57,0)</f>
        <v>230</v>
      </c>
      <c r="AB57" s="12">
        <f>IF('Men''s Epée'!$T$3=TRUE,K57,0)</f>
        <v>0</v>
      </c>
      <c r="AC57" s="12">
        <f>IF('Men''s Epée'!$U$3=TRUE,M57,0)</f>
        <v>0</v>
      </c>
      <c r="AD57" s="26">
        <f t="shared" si="27"/>
        <v>0</v>
      </c>
      <c r="AE57" s="26">
        <f t="shared" si="28"/>
        <v>0</v>
      </c>
      <c r="AF57" s="26">
        <f t="shared" si="29"/>
        <v>0</v>
      </c>
      <c r="AG57" s="26">
        <f t="shared" si="30"/>
        <v>0</v>
      </c>
      <c r="AH57" s="12">
        <f t="shared" si="31"/>
        <v>230</v>
      </c>
    </row>
    <row r="58" spans="1:34" ht="13.5">
      <c r="A58" s="16" t="str">
        <f t="shared" si="0"/>
        <v>54T</v>
      </c>
      <c r="B58" s="16" t="str">
        <f t="shared" si="23"/>
        <v>#</v>
      </c>
      <c r="C58" s="17" t="s">
        <v>344</v>
      </c>
      <c r="D58" s="18">
        <v>1984</v>
      </c>
      <c r="E58" s="19">
        <f>ROUND(F58+IF('Men''s Epée'!$A$3=1,G58,0)+LARGE($S58:$Y58,1)+LARGE($S58:$Y58,2),0)</f>
        <v>230</v>
      </c>
      <c r="F58" s="20"/>
      <c r="G58" s="21"/>
      <c r="H58" s="21" t="s">
        <v>5</v>
      </c>
      <c r="I58" s="22">
        <f>IF(OR('Men''s Epée'!$A$3=1,'Men''s Epée'!$S$3=TRUE),IF(OR(H58&gt;=49,ISNUMBER(H58)=FALSE),0,VLOOKUP(H58,PointTable,I$3,TRUE)),0)</f>
        <v>0</v>
      </c>
      <c r="J58" s="21">
        <v>42</v>
      </c>
      <c r="K58" s="22">
        <f>IF(OR('Men''s Epée'!$A$3=1,'Men''s Epée'!$T$3=TRUE),IF(OR(J58&gt;=49,ISNUMBER(J58)=FALSE),0,VLOOKUP(J58,PointTable,K$3,TRUE)),0)</f>
        <v>230</v>
      </c>
      <c r="L58" s="21" t="s">
        <v>5</v>
      </c>
      <c r="M58" s="22">
        <f>IF(OR('Men''s Epée'!$A$3=1,'Men''s Epée'!$U$3=TRUE),IF(OR(L58&gt;=49,ISNUMBER(L58)=FALSE),0,VLOOKUP(L58,PointTable,M$3,TRUE)),0)</f>
        <v>0</v>
      </c>
      <c r="N58" s="23"/>
      <c r="O58" s="23"/>
      <c r="P58" s="23"/>
      <c r="Q58" s="24"/>
      <c r="S58" s="25">
        <f t="shared" si="24"/>
        <v>0</v>
      </c>
      <c r="T58" s="25">
        <f t="shared" si="25"/>
        <v>230</v>
      </c>
      <c r="U58" s="25">
        <f t="shared" si="26"/>
        <v>0</v>
      </c>
      <c r="V58" s="25">
        <f>IF(OR('Men''s Epée'!$A$3=1,N58&gt;0),ABS(N58),0)</f>
        <v>0</v>
      </c>
      <c r="W58" s="25">
        <f>IF(OR('Men''s Epée'!$A$3=1,O58&gt;0),ABS(O58),0)</f>
        <v>0</v>
      </c>
      <c r="X58" s="25">
        <f>IF(OR('Men''s Epée'!$A$3=1,P58&gt;0),ABS(P58),0)</f>
        <v>0</v>
      </c>
      <c r="Y58" s="25">
        <f>IF(OR('Men''s Epée'!$A$3=1,Q58&gt;0),ABS(Q58),0)</f>
        <v>0</v>
      </c>
      <c r="AA58" s="12">
        <f>IF('Men''s Epée'!$S$3=TRUE,I58,0)</f>
        <v>0</v>
      </c>
      <c r="AB58" s="12">
        <f>IF('Men''s Epée'!$T$3=TRUE,K58,0)</f>
        <v>230</v>
      </c>
      <c r="AC58" s="12">
        <f>IF('Men''s Epée'!$U$3=TRUE,M58,0)</f>
        <v>0</v>
      </c>
      <c r="AD58" s="26">
        <f t="shared" si="27"/>
        <v>0</v>
      </c>
      <c r="AE58" s="26">
        <f t="shared" si="28"/>
        <v>0</v>
      </c>
      <c r="AF58" s="26">
        <f t="shared" si="29"/>
        <v>0</v>
      </c>
      <c r="AG58" s="26">
        <f t="shared" si="30"/>
        <v>0</v>
      </c>
      <c r="AH58" s="12">
        <f t="shared" si="31"/>
        <v>230</v>
      </c>
    </row>
    <row r="59" spans="1:34" ht="13.5">
      <c r="A59" s="16" t="str">
        <f t="shared" si="0"/>
        <v>56</v>
      </c>
      <c r="B59" s="16">
        <f t="shared" si="23"/>
      </c>
      <c r="C59" s="17" t="s">
        <v>106</v>
      </c>
      <c r="D59" s="18">
        <v>1973</v>
      </c>
      <c r="E59" s="19">
        <f>ROUND(F59+IF('Men''s Epée'!$A$3=1,G59,0)+LARGE($S59:$Y59,1)+LARGE($S59:$Y59,2),0)</f>
        <v>223</v>
      </c>
      <c r="F59" s="20"/>
      <c r="G59" s="21"/>
      <c r="H59" s="21">
        <v>43.5</v>
      </c>
      <c r="I59" s="22">
        <f>IF(OR('Men''s Epée'!$A$3=1,'Men''s Epée'!$S$3=TRUE),IF(OR(H59&gt;=49,ISNUMBER(H59)=FALSE),0,VLOOKUP(H59,PointTable,I$3,TRUE)),0)</f>
        <v>222.5</v>
      </c>
      <c r="J59" s="21" t="s">
        <v>5</v>
      </c>
      <c r="K59" s="22">
        <f>IF(OR('Men''s Epée'!$A$3=1,'Men''s Epée'!$T$3=TRUE),IF(OR(J59&gt;=49,ISNUMBER(J59)=FALSE),0,VLOOKUP(J59,PointTable,K$3,TRUE)),0)</f>
        <v>0</v>
      </c>
      <c r="L59" s="21" t="s">
        <v>5</v>
      </c>
      <c r="M59" s="22">
        <f>IF(OR('Men''s Epée'!$A$3=1,'Men''s Epée'!$U$3=TRUE),IF(OR(L59&gt;=49,ISNUMBER(L59)=FALSE),0,VLOOKUP(L59,PointTable,M$3,TRUE)),0)</f>
        <v>0</v>
      </c>
      <c r="N59" s="23"/>
      <c r="O59" s="23"/>
      <c r="P59" s="23"/>
      <c r="Q59" s="24"/>
      <c r="S59" s="25">
        <f t="shared" si="24"/>
        <v>222.5</v>
      </c>
      <c r="T59" s="25">
        <f t="shared" si="25"/>
        <v>0</v>
      </c>
      <c r="U59" s="25">
        <f t="shared" si="26"/>
        <v>0</v>
      </c>
      <c r="V59" s="25">
        <f>IF(OR('Men''s Epée'!$A$3=1,N59&gt;0),ABS(N59),0)</f>
        <v>0</v>
      </c>
      <c r="W59" s="25">
        <f>IF(OR('Men''s Epée'!$A$3=1,O59&gt;0),ABS(O59),0)</f>
        <v>0</v>
      </c>
      <c r="X59" s="25">
        <f>IF(OR('Men''s Epée'!$A$3=1,P59&gt;0),ABS(P59),0)</f>
        <v>0</v>
      </c>
      <c r="Y59" s="25">
        <f>IF(OR('Men''s Epée'!$A$3=1,Q59&gt;0),ABS(Q59),0)</f>
        <v>0</v>
      </c>
      <c r="AA59" s="12">
        <f>IF('Men''s Epée'!$S$3=TRUE,I59,0)</f>
        <v>222.5</v>
      </c>
      <c r="AB59" s="12">
        <f>IF('Men''s Epée'!$T$3=TRUE,K59,0)</f>
        <v>0</v>
      </c>
      <c r="AC59" s="12">
        <f>IF('Men''s Epée'!$U$3=TRUE,M59,0)</f>
        <v>0</v>
      </c>
      <c r="AD59" s="26">
        <f t="shared" si="27"/>
        <v>0</v>
      </c>
      <c r="AE59" s="26">
        <f t="shared" si="28"/>
        <v>0</v>
      </c>
      <c r="AF59" s="26">
        <f t="shared" si="29"/>
        <v>0</v>
      </c>
      <c r="AG59" s="26">
        <f t="shared" si="30"/>
        <v>0</v>
      </c>
      <c r="AH59" s="12">
        <f t="shared" si="31"/>
        <v>222.5</v>
      </c>
    </row>
    <row r="60" spans="1:34" ht="13.5">
      <c r="A60" s="16" t="str">
        <f t="shared" si="0"/>
        <v>57</v>
      </c>
      <c r="B60" s="16">
        <f t="shared" si="23"/>
      </c>
      <c r="C60" s="17" t="s">
        <v>259</v>
      </c>
      <c r="D60" s="18">
        <v>1981</v>
      </c>
      <c r="E60" s="19">
        <f>ROUND(F60+IF('Men''s Epée'!$A$3=1,G60,0)+LARGE($S60:$Y60,1)+LARGE($S60:$Y60,2),0)</f>
        <v>213</v>
      </c>
      <c r="F60" s="20"/>
      <c r="G60" s="21"/>
      <c r="H60" s="21">
        <v>45.5</v>
      </c>
      <c r="I60" s="22">
        <f>IF(OR('Men''s Epée'!$A$3=1,'Men''s Epée'!$S$3=TRUE),IF(OR(H60&gt;=49,ISNUMBER(H60)=FALSE),0,VLOOKUP(H60,PointTable,I$3,TRUE)),0)</f>
        <v>212.5</v>
      </c>
      <c r="J60" s="21" t="s">
        <v>5</v>
      </c>
      <c r="K60" s="22">
        <f>IF(OR('Men''s Epée'!$A$3=1,'Men''s Epée'!$T$3=TRUE),IF(OR(J60&gt;=49,ISNUMBER(J60)=FALSE),0,VLOOKUP(J60,PointTable,K$3,TRUE)),0)</f>
        <v>0</v>
      </c>
      <c r="L60" s="21" t="s">
        <v>5</v>
      </c>
      <c r="M60" s="22">
        <f>IF(OR('Men''s Epée'!$A$3=1,'Men''s Epée'!$U$3=TRUE),IF(OR(L60&gt;=49,ISNUMBER(L60)=FALSE),0,VLOOKUP(L60,PointTable,M$3,TRUE)),0)</f>
        <v>0</v>
      </c>
      <c r="N60" s="23"/>
      <c r="O60" s="23"/>
      <c r="P60" s="23"/>
      <c r="Q60" s="24"/>
      <c r="S60" s="25">
        <f t="shared" si="24"/>
        <v>212.5</v>
      </c>
      <c r="T60" s="25">
        <f t="shared" si="25"/>
        <v>0</v>
      </c>
      <c r="U60" s="25">
        <f t="shared" si="26"/>
        <v>0</v>
      </c>
      <c r="V60" s="25">
        <f>IF(OR('Men''s Epée'!$A$3=1,N60&gt;0),ABS(N60),0)</f>
        <v>0</v>
      </c>
      <c r="W60" s="25">
        <f>IF(OR('Men''s Epée'!$A$3=1,O60&gt;0),ABS(O60),0)</f>
        <v>0</v>
      </c>
      <c r="X60" s="25">
        <f>IF(OR('Men''s Epée'!$A$3=1,P60&gt;0),ABS(P60),0)</f>
        <v>0</v>
      </c>
      <c r="Y60" s="25">
        <f>IF(OR('Men''s Epée'!$A$3=1,Q60&gt;0),ABS(Q60),0)</f>
        <v>0</v>
      </c>
      <c r="AA60" s="12">
        <f>IF('Men''s Epée'!$S$3=TRUE,I60,0)</f>
        <v>212.5</v>
      </c>
      <c r="AB60" s="12">
        <f>IF('Men''s Epée'!$T$3=TRUE,K60,0)</f>
        <v>0</v>
      </c>
      <c r="AC60" s="12">
        <f>IF('Men''s Epée'!$U$3=TRUE,M60,0)</f>
        <v>0</v>
      </c>
      <c r="AD60" s="26">
        <f t="shared" si="27"/>
        <v>0</v>
      </c>
      <c r="AE60" s="26">
        <f t="shared" si="28"/>
        <v>0</v>
      </c>
      <c r="AF60" s="26">
        <f t="shared" si="29"/>
        <v>0</v>
      </c>
      <c r="AG60" s="26">
        <f t="shared" si="30"/>
        <v>0</v>
      </c>
      <c r="AH60" s="12">
        <f t="shared" si="31"/>
        <v>212.5</v>
      </c>
    </row>
    <row r="61" spans="1:34" ht="13.5">
      <c r="A61" s="16" t="str">
        <f t="shared" si="0"/>
        <v>58</v>
      </c>
      <c r="B61" s="16" t="str">
        <f t="shared" si="23"/>
        <v>#</v>
      </c>
      <c r="C61" s="17" t="s">
        <v>260</v>
      </c>
      <c r="D61" s="18">
        <v>1984</v>
      </c>
      <c r="E61" s="19">
        <f>ROUND(F61+IF('Men''s Epée'!$A$3=1,G61,0)+LARGE($S61:$Y61,1)+LARGE($S61:$Y61,2),0)</f>
        <v>205</v>
      </c>
      <c r="F61" s="20"/>
      <c r="G61" s="21"/>
      <c r="H61" s="21">
        <v>47</v>
      </c>
      <c r="I61" s="22">
        <f>IF(OR('Men''s Epée'!$A$3=1,'Men''s Epée'!$S$3=TRUE),IF(OR(H61&gt;=49,ISNUMBER(H61)=FALSE),0,VLOOKUP(H61,PointTable,I$3,TRUE)),0)</f>
        <v>205</v>
      </c>
      <c r="J61" s="21" t="s">
        <v>5</v>
      </c>
      <c r="K61" s="22">
        <f>IF(OR('Men''s Epée'!$A$3=1,'Men''s Epée'!$T$3=TRUE),IF(OR(J61&gt;=49,ISNUMBER(J61)=FALSE),0,VLOOKUP(J61,PointTable,K$3,TRUE)),0)</f>
        <v>0</v>
      </c>
      <c r="L61" s="21" t="s">
        <v>5</v>
      </c>
      <c r="M61" s="22">
        <f>IF(OR('Men''s Epée'!$A$3=1,'Men''s Epée'!$U$3=TRUE),IF(OR(L61&gt;=49,ISNUMBER(L61)=FALSE),0,VLOOKUP(L61,PointTable,M$3,TRUE)),0)</f>
        <v>0</v>
      </c>
      <c r="N61" s="23"/>
      <c r="O61" s="23"/>
      <c r="P61" s="23"/>
      <c r="Q61" s="24"/>
      <c r="S61" s="25">
        <f t="shared" si="24"/>
        <v>205</v>
      </c>
      <c r="T61" s="25">
        <f t="shared" si="25"/>
        <v>0</v>
      </c>
      <c r="U61" s="25">
        <f t="shared" si="26"/>
        <v>0</v>
      </c>
      <c r="V61" s="25">
        <f>IF(OR('Men''s Epée'!$A$3=1,N61&gt;0),ABS(N61),0)</f>
        <v>0</v>
      </c>
      <c r="W61" s="25">
        <f>IF(OR('Men''s Epée'!$A$3=1,O61&gt;0),ABS(O61),0)</f>
        <v>0</v>
      </c>
      <c r="X61" s="25">
        <f>IF(OR('Men''s Epée'!$A$3=1,P61&gt;0),ABS(P61),0)</f>
        <v>0</v>
      </c>
      <c r="Y61" s="25">
        <f>IF(OR('Men''s Epée'!$A$3=1,Q61&gt;0),ABS(Q61),0)</f>
        <v>0</v>
      </c>
      <c r="AA61" s="12">
        <f>IF('Men''s Epée'!$S$3=TRUE,I61,0)</f>
        <v>205</v>
      </c>
      <c r="AB61" s="12">
        <f>IF('Men''s Epée'!$T$3=TRUE,K61,0)</f>
        <v>0</v>
      </c>
      <c r="AC61" s="12">
        <f>IF('Men''s Epée'!$U$3=TRUE,M61,0)</f>
        <v>0</v>
      </c>
      <c r="AD61" s="26">
        <f t="shared" si="27"/>
        <v>0</v>
      </c>
      <c r="AE61" s="26">
        <f t="shared" si="28"/>
        <v>0</v>
      </c>
      <c r="AF61" s="26">
        <f t="shared" si="29"/>
        <v>0</v>
      </c>
      <c r="AG61" s="26">
        <f t="shared" si="30"/>
        <v>0</v>
      </c>
      <c r="AH61" s="12">
        <f t="shared" si="31"/>
        <v>205</v>
      </c>
    </row>
    <row r="62" spans="1:34" ht="13.5">
      <c r="A62" s="16">
        <f t="shared" si="0"/>
      </c>
      <c r="B62" s="16" t="str">
        <f>TRIM(IF(D62&gt;=JuniorCutoff,"#",""))</f>
        <v>#</v>
      </c>
      <c r="C62" s="17" t="s">
        <v>197</v>
      </c>
      <c r="D62" s="18">
        <v>1985</v>
      </c>
      <c r="E62" s="19">
        <f>ROUND(F62+IF('Men''s Epée'!$A$3=1,G62+LARGE($S62:$Y62,3),0)+LARGE($S62:$Y62,1)+LARGE($S62:$Y62,2),0)</f>
        <v>42</v>
      </c>
      <c r="F62" s="20"/>
      <c r="G62" s="21"/>
      <c r="H62" s="21" t="s">
        <v>5</v>
      </c>
      <c r="I62" s="22">
        <f>IF(OR('Men''s Epée'!$A$3=1,'Men''s Epée'!$S$3=TRUE),IF(OR(H62&gt;=49,ISNUMBER(H62)=FALSE),0,VLOOKUP(H62,PointTable,I$3,TRUE)),0)</f>
        <v>0</v>
      </c>
      <c r="J62" s="21" t="s">
        <v>5</v>
      </c>
      <c r="K62" s="22">
        <f>IF(OR('Men''s Epée'!$A$3=1,'Men''s Epée'!$T$3=TRUE),IF(OR(J62&gt;=49,ISNUMBER(J62)=FALSE),0,VLOOKUP(J62,PointTable,K$3,TRUE)),0)</f>
        <v>0</v>
      </c>
      <c r="L62" s="21" t="s">
        <v>5</v>
      </c>
      <c r="M62" s="22">
        <f>IF(OR('Men''s Epée'!$A$3=1,'Men''s Epée'!$U$3=TRUE),IF(OR(L62&gt;=49,ISNUMBER(L62)=FALSE),0,VLOOKUP(L62,PointTable,M$3,TRUE)),0)</f>
        <v>0</v>
      </c>
      <c r="N62" s="23">
        <v>42.12</v>
      </c>
      <c r="O62" s="23"/>
      <c r="P62" s="23"/>
      <c r="Q62" s="24"/>
      <c r="S62" s="25">
        <f>I62</f>
        <v>0</v>
      </c>
      <c r="T62" s="25">
        <f>K62</f>
        <v>0</v>
      </c>
      <c r="U62" s="25">
        <f>M62</f>
        <v>0</v>
      </c>
      <c r="V62" s="25">
        <f>IF(OR('Men''s Epée'!$A$3=1,N62&gt;0),ABS(N62),0)</f>
        <v>42.12</v>
      </c>
      <c r="W62" s="25">
        <f>IF(OR('Men''s Epée'!$A$3=1,O62&gt;0),ABS(O62),0)</f>
        <v>0</v>
      </c>
      <c r="X62" s="25">
        <f>IF(OR('Men''s Epée'!$A$3=1,P62&gt;0),ABS(P62),0)</f>
        <v>0</v>
      </c>
      <c r="Y62" s="25">
        <f>IF(OR('Men''s Epée'!$A$3=1,Q62&gt;0),ABS(Q62),0)</f>
        <v>0</v>
      </c>
      <c r="AA62" s="12">
        <f>IF('Men''s Epée'!$S$3=TRUE,I62,0)</f>
        <v>0</v>
      </c>
      <c r="AB62" s="12">
        <f>IF('Men''s Epée'!$T$3=TRUE,K62,0)</f>
        <v>0</v>
      </c>
      <c r="AC62" s="12">
        <f>IF('Men''s Epée'!$U$3=TRUE,M62,0)</f>
        <v>0</v>
      </c>
      <c r="AD62" s="26">
        <f>MAX(N62,0)</f>
        <v>42.12</v>
      </c>
      <c r="AE62" s="26">
        <f>MAX(O62,0)</f>
        <v>0</v>
      </c>
      <c r="AF62" s="26">
        <f>MAX(P62,0)</f>
        <v>0</v>
      </c>
      <c r="AG62" s="26">
        <f>MAX(Q62,0)</f>
        <v>0</v>
      </c>
      <c r="AH62" s="12">
        <f>LARGE(AA62:AG62,1)+LARGE(AA62:AG62,2)+F62</f>
        <v>42.12</v>
      </c>
    </row>
    <row r="63" spans="27:34" ht="13.5">
      <c r="AA63" s="12"/>
      <c r="AB63" s="12"/>
      <c r="AC63" s="12"/>
      <c r="AD63" s="26"/>
      <c r="AE63" s="26"/>
      <c r="AF63" s="26"/>
      <c r="AG63" s="26"/>
      <c r="AH63" s="12"/>
    </row>
    <row r="64" spans="3:34" ht="13.5">
      <c r="C64" s="30" t="s">
        <v>18</v>
      </c>
      <c r="F64" s="18"/>
      <c r="G64" s="18"/>
      <c r="H64" s="25"/>
      <c r="I64" s="25"/>
      <c r="K64" s="25"/>
      <c r="L64" s="31" t="s">
        <v>19</v>
      </c>
      <c r="M64" s="31" t="s">
        <v>20</v>
      </c>
      <c r="N64" s="28"/>
      <c r="AA64" s="12"/>
      <c r="AB64" s="12"/>
      <c r="AC64" s="12"/>
      <c r="AD64" s="26"/>
      <c r="AE64" s="26"/>
      <c r="AF64" s="26"/>
      <c r="AG64" s="26"/>
      <c r="AH64" s="12"/>
    </row>
    <row r="65" spans="3:34" ht="13.5" hidden="1">
      <c r="C65" s="37" t="s">
        <v>241</v>
      </c>
      <c r="D65" s="32" t="s">
        <v>244</v>
      </c>
      <c r="K65" s="25"/>
      <c r="L65" s="32">
        <v>22</v>
      </c>
      <c r="M65" s="33">
        <v>42.12</v>
      </c>
      <c r="N65" s="34"/>
      <c r="AA65" s="12"/>
      <c r="AB65" s="12"/>
      <c r="AC65" s="12"/>
      <c r="AD65" s="26"/>
      <c r="AE65" s="26"/>
      <c r="AF65" s="26"/>
      <c r="AG65" s="26"/>
      <c r="AH65" s="12"/>
    </row>
    <row r="66" spans="3:34" ht="13.5">
      <c r="C66" s="37" t="s">
        <v>242</v>
      </c>
      <c r="D66" s="32" t="s">
        <v>244</v>
      </c>
      <c r="K66" s="25"/>
      <c r="L66" s="32">
        <v>10</v>
      </c>
      <c r="M66" s="33">
        <v>68.688</v>
      </c>
      <c r="N66" s="34"/>
      <c r="AA66" s="12"/>
      <c r="AB66" s="12"/>
      <c r="AC66" s="12"/>
      <c r="AD66" s="26"/>
      <c r="AE66" s="26"/>
      <c r="AF66" s="26"/>
      <c r="AG66" s="26"/>
      <c r="AH66" s="12"/>
    </row>
    <row r="67" spans="3:34" ht="13.5">
      <c r="C67" s="37" t="s">
        <v>27</v>
      </c>
      <c r="D67" s="32" t="s">
        <v>244</v>
      </c>
      <c r="K67" s="25"/>
      <c r="L67" s="32">
        <v>25</v>
      </c>
      <c r="M67" s="33">
        <v>37.8</v>
      </c>
      <c r="N67" s="34"/>
      <c r="AA67" s="12"/>
      <c r="AB67" s="12"/>
      <c r="AC67" s="12"/>
      <c r="AD67" s="26"/>
      <c r="AE67" s="26"/>
      <c r="AF67" s="26"/>
      <c r="AG67" s="26"/>
      <c r="AH67" s="12"/>
    </row>
    <row r="68" spans="3:34" ht="13.5">
      <c r="C68" s="37" t="s">
        <v>308</v>
      </c>
      <c r="D68" s="32" t="s">
        <v>307</v>
      </c>
      <c r="K68" s="25"/>
      <c r="L68" s="32">
        <v>3</v>
      </c>
      <c r="M68" s="33">
        <v>1436.16</v>
      </c>
      <c r="N68" s="34"/>
      <c r="AA68" s="12"/>
      <c r="AB68" s="12"/>
      <c r="AC68" s="12"/>
      <c r="AD68" s="26"/>
      <c r="AE68" s="26"/>
      <c r="AF68" s="26"/>
      <c r="AG68" s="26"/>
      <c r="AH68" s="12"/>
    </row>
    <row r="69" spans="3:34" ht="13.5">
      <c r="C69" s="37" t="s">
        <v>171</v>
      </c>
      <c r="D69" s="32" t="s">
        <v>244</v>
      </c>
      <c r="K69" s="25"/>
      <c r="L69" s="32">
        <v>30</v>
      </c>
      <c r="M69" s="33">
        <v>35.64</v>
      </c>
      <c r="N69" s="34"/>
      <c r="AA69" s="12"/>
      <c r="AB69" s="12"/>
      <c r="AC69" s="12"/>
      <c r="AD69" s="26"/>
      <c r="AE69" s="26"/>
      <c r="AF69" s="26"/>
      <c r="AG69" s="26"/>
      <c r="AH69" s="12"/>
    </row>
    <row r="70" spans="3:34" ht="13.5">
      <c r="C70" s="37" t="s">
        <v>98</v>
      </c>
      <c r="D70" s="32" t="s">
        <v>307</v>
      </c>
      <c r="K70" s="25"/>
      <c r="L70" s="32">
        <v>31</v>
      </c>
      <c r="M70" s="33">
        <v>459.008</v>
      </c>
      <c r="N70" s="34"/>
      <c r="AA70" s="12"/>
      <c r="AB70" s="12"/>
      <c r="AC70" s="12"/>
      <c r="AD70" s="26"/>
      <c r="AE70" s="26"/>
      <c r="AF70" s="26"/>
      <c r="AG70" s="26"/>
      <c r="AH70" s="12"/>
    </row>
    <row r="71" spans="3:34" ht="13.5">
      <c r="C71" s="37" t="s">
        <v>243</v>
      </c>
      <c r="D71" s="32" t="s">
        <v>244</v>
      </c>
      <c r="K71" s="25"/>
      <c r="L71" s="32">
        <v>26</v>
      </c>
      <c r="M71" s="33">
        <v>37.368</v>
      </c>
      <c r="N71" s="34"/>
      <c r="AA71" s="12"/>
      <c r="AB71" s="12"/>
      <c r="AC71" s="12"/>
      <c r="AD71" s="26"/>
      <c r="AE71" s="26"/>
      <c r="AF71" s="26"/>
      <c r="AG71" s="26"/>
      <c r="AH71" s="12"/>
    </row>
    <row r="72" spans="3:34" ht="13.5">
      <c r="C72" s="37" t="s">
        <v>309</v>
      </c>
      <c r="D72" s="32" t="s">
        <v>307</v>
      </c>
      <c r="K72" s="25"/>
      <c r="L72" s="32">
        <v>30</v>
      </c>
      <c r="M72" s="33">
        <v>464.64</v>
      </c>
      <c r="N72" s="34"/>
      <c r="AA72" s="12"/>
      <c r="AB72" s="12"/>
      <c r="AC72" s="12"/>
      <c r="AD72" s="26"/>
      <c r="AE72" s="26"/>
      <c r="AF72" s="26"/>
      <c r="AG72" s="26"/>
      <c r="AH72" s="12"/>
    </row>
    <row r="73" spans="4:34" ht="13.5">
      <c r="D73" s="32"/>
      <c r="K73" s="25"/>
      <c r="L73" s="32"/>
      <c r="M73" s="33"/>
      <c r="N73" s="34"/>
      <c r="AA73" s="12"/>
      <c r="AB73" s="12"/>
      <c r="AC73" s="12"/>
      <c r="AD73" s="26"/>
      <c r="AE73" s="26"/>
      <c r="AF73" s="26"/>
      <c r="AG73" s="26"/>
      <c r="AH73" s="12"/>
    </row>
    <row r="74" spans="3:34" ht="13.5">
      <c r="C74" s="30" t="s">
        <v>21</v>
      </c>
      <c r="D74" s="32"/>
      <c r="K74" s="25"/>
      <c r="L74" s="32"/>
      <c r="M74" s="33"/>
      <c r="N74" s="34"/>
      <c r="AA74" s="12"/>
      <c r="AB74" s="12"/>
      <c r="AC74" s="12"/>
      <c r="AD74" s="26"/>
      <c r="AE74" s="26"/>
      <c r="AF74" s="26"/>
      <c r="AG74" s="26"/>
      <c r="AH74" s="12"/>
    </row>
    <row r="75" spans="2:34" ht="13.5">
      <c r="B75" s="43"/>
      <c r="C75" s="37" t="s">
        <v>30</v>
      </c>
      <c r="D75" s="32" t="s">
        <v>365</v>
      </c>
      <c r="K75" s="25"/>
      <c r="L75" s="32">
        <v>52</v>
      </c>
      <c r="M75" s="18">
        <v>168</v>
      </c>
      <c r="N75" s="34"/>
      <c r="AA75" s="12"/>
      <c r="AB75" s="12"/>
      <c r="AC75" s="12"/>
      <c r="AD75" s="26"/>
      <c r="AE75" s="26"/>
      <c r="AF75" s="26"/>
      <c r="AG75" s="26"/>
      <c r="AH75" s="12"/>
    </row>
    <row r="76" spans="2:34" ht="13.5">
      <c r="B76" s="43"/>
      <c r="C76" s="37" t="s">
        <v>30</v>
      </c>
      <c r="D76" s="32" t="s">
        <v>422</v>
      </c>
      <c r="K76" s="25"/>
      <c r="L76" s="32">
        <v>59</v>
      </c>
      <c r="M76" s="18">
        <v>112</v>
      </c>
      <c r="N76" s="34"/>
      <c r="AA76" s="12"/>
      <c r="AB76" s="12"/>
      <c r="AC76" s="12"/>
      <c r="AD76" s="26"/>
      <c r="AE76" s="26"/>
      <c r="AF76" s="26"/>
      <c r="AG76" s="26"/>
      <c r="AH76" s="12"/>
    </row>
    <row r="77" spans="2:34" ht="13.5">
      <c r="B77" s="43"/>
      <c r="C77" s="37" t="s">
        <v>366</v>
      </c>
      <c r="D77" s="32" t="s">
        <v>365</v>
      </c>
      <c r="K77" s="25"/>
      <c r="L77" s="32">
        <v>23</v>
      </c>
      <c r="M77" s="18">
        <v>768</v>
      </c>
      <c r="N77" s="34"/>
      <c r="AA77" s="12"/>
      <c r="AB77" s="12"/>
      <c r="AC77" s="12"/>
      <c r="AD77" s="26"/>
      <c r="AE77" s="26"/>
      <c r="AF77" s="26"/>
      <c r="AG77" s="26"/>
      <c r="AH77" s="12"/>
    </row>
    <row r="78" spans="2:34" ht="13.5">
      <c r="B78" s="43"/>
      <c r="C78" s="37" t="s">
        <v>366</v>
      </c>
      <c r="D78" s="32" t="s">
        <v>422</v>
      </c>
      <c r="K78" s="25"/>
      <c r="L78" s="32">
        <v>22</v>
      </c>
      <c r="M78" s="18">
        <v>780</v>
      </c>
      <c r="N78" s="34"/>
      <c r="AA78" s="12"/>
      <c r="AB78" s="12"/>
      <c r="AC78" s="12"/>
      <c r="AD78" s="26"/>
      <c r="AE78" s="26"/>
      <c r="AF78" s="26"/>
      <c r="AG78" s="26"/>
      <c r="AH78" s="12"/>
    </row>
    <row r="79" spans="2:34" ht="13.5">
      <c r="B79" s="43"/>
      <c r="C79" s="37" t="s">
        <v>308</v>
      </c>
      <c r="D79" s="32" t="s">
        <v>380</v>
      </c>
      <c r="K79" s="25"/>
      <c r="L79" s="32">
        <v>28</v>
      </c>
      <c r="M79" s="18">
        <v>676</v>
      </c>
      <c r="N79" s="34"/>
      <c r="AA79" s="12"/>
      <c r="AB79" s="12"/>
      <c r="AC79" s="12"/>
      <c r="AD79" s="26"/>
      <c r="AE79" s="26"/>
      <c r="AF79" s="26"/>
      <c r="AG79" s="26"/>
      <c r="AH79" s="12"/>
    </row>
    <row r="80" spans="2:34" ht="13.5">
      <c r="B80" s="43"/>
      <c r="C80" s="37" t="s">
        <v>308</v>
      </c>
      <c r="D80" s="32" t="s">
        <v>406</v>
      </c>
      <c r="K80" s="25"/>
      <c r="L80" s="32">
        <v>18</v>
      </c>
      <c r="M80" s="18">
        <v>828</v>
      </c>
      <c r="N80" s="34"/>
      <c r="AA80" s="12"/>
      <c r="AB80" s="12"/>
      <c r="AC80" s="12"/>
      <c r="AD80" s="26"/>
      <c r="AE80" s="26"/>
      <c r="AF80" s="26"/>
      <c r="AG80" s="26"/>
      <c r="AH80" s="12"/>
    </row>
    <row r="81" spans="2:34" ht="13.5">
      <c r="B81" s="43"/>
      <c r="C81" s="37" t="s">
        <v>308</v>
      </c>
      <c r="D81" s="32" t="s">
        <v>422</v>
      </c>
      <c r="K81" s="25"/>
      <c r="L81" s="32">
        <v>43</v>
      </c>
      <c r="M81" s="18">
        <v>240</v>
      </c>
      <c r="N81" s="34"/>
      <c r="AA81" s="12"/>
      <c r="AB81" s="12"/>
      <c r="AC81" s="12"/>
      <c r="AD81" s="26"/>
      <c r="AE81" s="26"/>
      <c r="AF81" s="26"/>
      <c r="AG81" s="26"/>
      <c r="AH81" s="12"/>
    </row>
    <row r="82" spans="2:34" ht="13.5">
      <c r="B82" s="43"/>
      <c r="C82" s="37" t="s">
        <v>171</v>
      </c>
      <c r="D82" s="32" t="s">
        <v>422</v>
      </c>
      <c r="K82" s="25"/>
      <c r="L82" s="32">
        <v>62</v>
      </c>
      <c r="M82" s="18">
        <v>88</v>
      </c>
      <c r="N82" s="34"/>
      <c r="AA82" s="12"/>
      <c r="AB82" s="12"/>
      <c r="AC82" s="12"/>
      <c r="AD82" s="26"/>
      <c r="AE82" s="26"/>
      <c r="AF82" s="26"/>
      <c r="AG82" s="26"/>
      <c r="AH82" s="12"/>
    </row>
    <row r="83" spans="2:34" ht="13.5">
      <c r="B83" s="43"/>
      <c r="C83" s="37" t="s">
        <v>159</v>
      </c>
      <c r="D83" s="32" t="s">
        <v>422</v>
      </c>
      <c r="K83" s="25"/>
      <c r="L83" s="32">
        <v>54</v>
      </c>
      <c r="M83" s="18">
        <v>152</v>
      </c>
      <c r="N83" s="34"/>
      <c r="AA83" s="12"/>
      <c r="AB83" s="12"/>
      <c r="AC83" s="12"/>
      <c r="AD83" s="26"/>
      <c r="AE83" s="26"/>
      <c r="AF83" s="26"/>
      <c r="AG83" s="26"/>
      <c r="AH83" s="12"/>
    </row>
    <row r="84" spans="2:34" ht="13.5">
      <c r="B84" s="43"/>
      <c r="C84" s="37" t="s">
        <v>309</v>
      </c>
      <c r="D84" s="32" t="s">
        <v>360</v>
      </c>
      <c r="K84" s="25"/>
      <c r="L84" s="32">
        <v>16</v>
      </c>
      <c r="M84" s="33">
        <v>1051.2</v>
      </c>
      <c r="N84" s="34"/>
      <c r="AA84" s="12"/>
      <c r="AB84" s="12"/>
      <c r="AC84" s="12"/>
      <c r="AD84" s="26"/>
      <c r="AE84" s="26"/>
      <c r="AF84" s="26"/>
      <c r="AG84" s="26"/>
      <c r="AH84" s="12"/>
    </row>
    <row r="85" spans="2:34" ht="13.5">
      <c r="B85" s="43"/>
      <c r="C85" s="37" t="s">
        <v>309</v>
      </c>
      <c r="D85" s="32" t="s">
        <v>406</v>
      </c>
      <c r="K85" s="25"/>
      <c r="L85" s="32">
        <v>15</v>
      </c>
      <c r="M85" s="18">
        <v>1212</v>
      </c>
      <c r="N85" s="34"/>
      <c r="AA85" s="12"/>
      <c r="AB85" s="12"/>
      <c r="AC85" s="12"/>
      <c r="AD85" s="26"/>
      <c r="AE85" s="26"/>
      <c r="AF85" s="26"/>
      <c r="AG85" s="26"/>
      <c r="AH85" s="12"/>
    </row>
    <row r="86" spans="2:34" ht="13.5">
      <c r="B86" s="43"/>
      <c r="C86" s="37" t="s">
        <v>309</v>
      </c>
      <c r="D86" s="32" t="s">
        <v>422</v>
      </c>
      <c r="K86" s="25"/>
      <c r="L86" s="32">
        <v>29</v>
      </c>
      <c r="M86" s="18">
        <v>668</v>
      </c>
      <c r="N86" s="34"/>
      <c r="AA86" s="12"/>
      <c r="AB86" s="12"/>
      <c r="AC86" s="12"/>
      <c r="AD86" s="26"/>
      <c r="AE86" s="26"/>
      <c r="AF86" s="26"/>
      <c r="AG86" s="26"/>
      <c r="AH86" s="12"/>
    </row>
  </sheetData>
  <printOptions horizontalCentered="1"/>
  <pageMargins left="0.25" right="0.25" top="0.95" bottom="0.95" header="0.25" footer="0.25"/>
  <pageSetup horizontalDpi="300" verticalDpi="300" orientation="landscape" r:id="rId1"/>
  <headerFooter alignWithMargins="0">
    <oddHeader>&amp;C&amp;"Times New Roman,Bold"&amp;16 2001-2002 USFA Point Standings
Senior &amp;A - Rolling Standings</oddHeader>
    <oddFooter>&amp;L&amp;"Arial,Bold"* Permanent Resident
# Junior&amp;"Arial,Regular"
Total = Best 3 plus Group II&amp;CPage &amp;P&amp;R&amp;"Arial,Bold"np = Did not earn points (including not competing)&amp;"Arial,Regular"
Printed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H101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8" customWidth="1"/>
    <col min="2" max="2" width="3.28125" style="18" customWidth="1"/>
    <col min="3" max="3" width="27.421875" style="37" customWidth="1"/>
    <col min="4" max="4" width="5.421875" style="18" customWidth="1"/>
    <col min="5" max="5" width="8.00390625" style="18" customWidth="1"/>
    <col min="6" max="7" width="5.7109375" style="19" customWidth="1"/>
    <col min="8" max="8" width="5.421875" style="19" customWidth="1"/>
    <col min="9" max="13" width="5.421875" style="28" customWidth="1"/>
    <col min="14" max="17" width="5.28125" style="29" customWidth="1"/>
    <col min="18" max="18" width="9.140625" style="25" customWidth="1"/>
    <col min="19" max="34" width="9.140625" style="25" hidden="1" customWidth="1"/>
    <col min="35" max="16384" width="9.140625" style="25" customWidth="1"/>
  </cols>
  <sheetData>
    <row r="1" spans="1:17" s="8" customFormat="1" ht="12.75" customHeight="1">
      <c r="A1" s="35"/>
      <c r="B1" s="1"/>
      <c r="C1" s="2" t="s">
        <v>0</v>
      </c>
      <c r="D1" s="3" t="s">
        <v>1</v>
      </c>
      <c r="E1" s="3" t="s">
        <v>2</v>
      </c>
      <c r="F1" s="4" t="s">
        <v>3</v>
      </c>
      <c r="G1" s="5"/>
      <c r="H1" s="4" t="s">
        <v>245</v>
      </c>
      <c r="I1" s="6"/>
      <c r="J1" s="4" t="s">
        <v>310</v>
      </c>
      <c r="K1" s="6"/>
      <c r="L1" s="4" t="s">
        <v>382</v>
      </c>
      <c r="M1" s="6"/>
      <c r="N1" s="7" t="s">
        <v>4</v>
      </c>
      <c r="O1" s="7"/>
      <c r="P1" s="7"/>
      <c r="Q1" s="6"/>
    </row>
    <row r="2" spans="1:27" s="8" customFormat="1" ht="18.75" customHeight="1">
      <c r="A2" s="1"/>
      <c r="B2" s="1"/>
      <c r="C2" s="2"/>
      <c r="D2" s="2"/>
      <c r="E2" s="3"/>
      <c r="F2" s="4" t="s">
        <v>376</v>
      </c>
      <c r="G2" s="9" t="s">
        <v>377</v>
      </c>
      <c r="H2" s="4" t="s">
        <v>236</v>
      </c>
      <c r="I2" s="6" t="s">
        <v>246</v>
      </c>
      <c r="J2" s="4" t="s">
        <v>236</v>
      </c>
      <c r="K2" s="6" t="s">
        <v>311</v>
      </c>
      <c r="L2" s="4" t="s">
        <v>381</v>
      </c>
      <c r="M2" s="6" t="s">
        <v>383</v>
      </c>
      <c r="N2" s="4" t="s">
        <v>4</v>
      </c>
      <c r="O2" s="7"/>
      <c r="P2" s="10"/>
      <c r="Q2" s="11"/>
      <c r="AA2" s="12"/>
    </row>
    <row r="3" spans="1:17" s="8" customFormat="1" ht="11.25" customHeight="1" hidden="1">
      <c r="A3" s="1"/>
      <c r="B3" s="1"/>
      <c r="C3" s="2"/>
      <c r="D3" s="2"/>
      <c r="E3" s="2"/>
      <c r="F3" s="13"/>
      <c r="G3" s="14"/>
      <c r="H3" s="14">
        <f>COLUMN()</f>
        <v>8</v>
      </c>
      <c r="I3" s="15">
        <f>HLOOKUP(H2,PointTableHeader,2,FALSE)</f>
        <v>9</v>
      </c>
      <c r="J3" s="14">
        <f>COLUMN()</f>
        <v>10</v>
      </c>
      <c r="K3" s="15">
        <f>HLOOKUP(J2,PointTableHeader,2,FALSE)</f>
        <v>9</v>
      </c>
      <c r="L3" s="14">
        <f>COLUMN()</f>
        <v>12</v>
      </c>
      <c r="M3" s="15">
        <f>HLOOKUP(L2,PointTableHeader,2,FALSE)</f>
        <v>8</v>
      </c>
      <c r="N3" s="14">
        <f>COLUMN()</f>
        <v>14</v>
      </c>
      <c r="O3" s="3"/>
      <c r="P3" s="3"/>
      <c r="Q3" s="15"/>
    </row>
    <row r="4" spans="1:34" ht="13.5">
      <c r="A4" s="16" t="str">
        <f>IF(E4&lt;MinimumSr,"",IF(E4=E3,A3,ROW()-3&amp;IF(E4=E5,"T","")))</f>
        <v>1</v>
      </c>
      <c r="B4" s="16">
        <f aca="true" t="shared" si="0" ref="B4:B35">TRIM(IF(D4&gt;=JuniorCutoff,"#",""))</f>
      </c>
      <c r="C4" s="17" t="s">
        <v>35</v>
      </c>
      <c r="D4" s="18">
        <v>1978</v>
      </c>
      <c r="E4" s="19">
        <f>ROUND(F4+IF('Men''s Epée'!$A$3=1,G4,0)+LARGE($S4:$Y4,1)+LARGE($S4:$Y4,2),0)</f>
        <v>7343</v>
      </c>
      <c r="F4" s="20">
        <v>5342.544</v>
      </c>
      <c r="G4" s="21"/>
      <c r="H4" s="21">
        <v>1</v>
      </c>
      <c r="I4" s="22">
        <f>IF(OR('Men''s Epée'!$A$3=1,'Men''s Epée'!$S$3=TRUE),IF(OR(H4&gt;=49,ISNUMBER(H4)=FALSE),0,VLOOKUP(H4,PointTable,I$3,TRUE)),0)</f>
        <v>1000</v>
      </c>
      <c r="J4" s="21" t="s">
        <v>5</v>
      </c>
      <c r="K4" s="22">
        <f>IF(OR('Men''s Epée'!$A$3=1,'Men''s Epée'!$T$3=TRUE),IF(OR(J4&gt;=49,ISNUMBER(J4)=FALSE),0,VLOOKUP(J4,PointTable,K$3,TRUE)),0)</f>
        <v>0</v>
      </c>
      <c r="L4" s="21">
        <v>1</v>
      </c>
      <c r="M4" s="22">
        <f>IF(OR('Men''s Epée'!$A$3=1,'Men''s Epée'!$U$3=TRUE),IF(OR(L4&gt;=49,ISNUMBER(L4)=FALSE),0,VLOOKUP(L4,PointTable,M$3,TRUE)),0)</f>
        <v>1000</v>
      </c>
      <c r="N4" s="23">
        <v>704.34</v>
      </c>
      <c r="O4" s="23"/>
      <c r="P4" s="23"/>
      <c r="Q4" s="24"/>
      <c r="S4" s="25">
        <f aca="true" t="shared" si="1" ref="S4:S26">I4</f>
        <v>1000</v>
      </c>
      <c r="T4" s="25">
        <f aca="true" t="shared" si="2" ref="T4:T26">K4</f>
        <v>0</v>
      </c>
      <c r="U4" s="25">
        <f aca="true" t="shared" si="3" ref="U4:U26">M4</f>
        <v>1000</v>
      </c>
      <c r="V4" s="25">
        <f>IF(OR('Men''s Epée'!$A$3=1,N4&gt;0),ABS(N4),0)</f>
        <v>704.34</v>
      </c>
      <c r="W4" s="25">
        <f>IF(OR('Men''s Epée'!$A$3=1,O4&gt;0),ABS(O4),0)</f>
        <v>0</v>
      </c>
      <c r="X4" s="25">
        <f>IF(OR('Men''s Epée'!$A$3=1,P4&gt;0),ABS(P4),0)</f>
        <v>0</v>
      </c>
      <c r="Y4" s="25">
        <f>IF(OR('Men''s Epée'!$A$3=1,Q4&gt;0),ABS(Q4),0)</f>
        <v>0</v>
      </c>
      <c r="AA4" s="12">
        <f>IF('Men''s Epée'!$S$3=TRUE,I4,0)</f>
        <v>1000</v>
      </c>
      <c r="AB4" s="12">
        <f>IF('Men''s Epée'!$T$3=TRUE,K4,0)</f>
        <v>0</v>
      </c>
      <c r="AC4" s="12">
        <f>IF('Men''s Epée'!$U$3=TRUE,M4,0)</f>
        <v>1000</v>
      </c>
      <c r="AD4" s="26">
        <f>MAX(N4,0)</f>
        <v>704.34</v>
      </c>
      <c r="AE4" s="26">
        <f>MAX(O4,0)</f>
        <v>0</v>
      </c>
      <c r="AF4" s="26">
        <f>MAX(P4,0)</f>
        <v>0</v>
      </c>
      <c r="AG4" s="26">
        <f>MAX(Q4,0)</f>
        <v>0</v>
      </c>
      <c r="AH4" s="12">
        <f>ROUND(LARGE(AA4:AG4,1)+LARGE(AA4:AG4,2)+F4,0)</f>
        <v>7343</v>
      </c>
    </row>
    <row r="5" spans="1:34" ht="13.5">
      <c r="A5" s="16" t="str">
        <f aca="true" t="shared" si="4" ref="A5:A64">IF(E5&lt;MinimumSr,"",IF(E5=E4,A4,ROW()-3&amp;IF(E5=E6,"T","")))</f>
        <v>2</v>
      </c>
      <c r="B5" s="16">
        <f t="shared" si="0"/>
      </c>
      <c r="C5" s="17" t="s">
        <v>37</v>
      </c>
      <c r="D5" s="18">
        <v>1981</v>
      </c>
      <c r="E5" s="19">
        <f>ROUND(F5+IF('Men''s Epée'!$A$3=1,G5,0)+LARGE($S5:$Y5,1)+LARGE($S5:$Y5,2),0)</f>
        <v>5147</v>
      </c>
      <c r="F5" s="20">
        <v>3081.3419999999996</v>
      </c>
      <c r="G5" s="21"/>
      <c r="H5" s="21">
        <v>2</v>
      </c>
      <c r="I5" s="22">
        <f>IF(OR('Men''s Epée'!$A$3=1,'Men''s Epée'!$S$3=TRUE),IF(OR(H5&gt;=49,ISNUMBER(H5)=FALSE),0,VLOOKUP(H5,PointTable,I$3,TRUE)),0)</f>
        <v>925</v>
      </c>
      <c r="J5" s="21" t="s">
        <v>5</v>
      </c>
      <c r="K5" s="22">
        <f>IF(OR('Men''s Epée'!$A$3=1,'Men''s Epée'!$T$3=TRUE),IF(OR(J5&gt;=49,ISNUMBER(J5)=FALSE),0,VLOOKUP(J5,PointTable,K$3,TRUE)),0)</f>
        <v>0</v>
      </c>
      <c r="L5" s="21">
        <v>2</v>
      </c>
      <c r="M5" s="22">
        <f>IF(OR('Men''s Epée'!$A$3=1,'Men''s Epée'!$U$3=TRUE),IF(OR(L5&gt;=49,ISNUMBER(L5)=FALSE),0,VLOOKUP(L5,PointTable,M$3,TRUE)),0)</f>
        <v>920</v>
      </c>
      <c r="N5" s="23">
        <v>1140.36</v>
      </c>
      <c r="O5" s="23"/>
      <c r="P5" s="23"/>
      <c r="Q5" s="24"/>
      <c r="S5" s="25">
        <f t="shared" si="1"/>
        <v>925</v>
      </c>
      <c r="T5" s="25">
        <f t="shared" si="2"/>
        <v>0</v>
      </c>
      <c r="U5" s="25">
        <f t="shared" si="3"/>
        <v>920</v>
      </c>
      <c r="V5" s="25">
        <f>IF(OR('Men''s Epée'!$A$3=1,N5&gt;0),ABS(N5),0)</f>
        <v>1140.36</v>
      </c>
      <c r="W5" s="25">
        <f>IF(OR('Men''s Epée'!$A$3=1,O5&gt;0),ABS(O5),0)</f>
        <v>0</v>
      </c>
      <c r="X5" s="25">
        <f>IF(OR('Men''s Epée'!$A$3=1,P5&gt;0),ABS(P5),0)</f>
        <v>0</v>
      </c>
      <c r="Y5" s="25">
        <f>IF(OR('Men''s Epée'!$A$3=1,Q5&gt;0),ABS(Q5),0)</f>
        <v>0</v>
      </c>
      <c r="AA5" s="12">
        <f>IF('Men''s Epée'!$S$3=TRUE,I5,0)</f>
        <v>925</v>
      </c>
      <c r="AB5" s="12">
        <f>IF('Men''s Epée'!$T$3=TRUE,K5,0)</f>
        <v>0</v>
      </c>
      <c r="AC5" s="12">
        <f>IF('Men''s Epée'!$U$3=TRUE,M5,0)</f>
        <v>920</v>
      </c>
      <c r="AD5" s="26">
        <f aca="true" t="shared" si="5" ref="AD5:AG26">MAX(N5,0)</f>
        <v>1140.36</v>
      </c>
      <c r="AE5" s="26">
        <f t="shared" si="5"/>
        <v>0</v>
      </c>
      <c r="AF5" s="26">
        <f t="shared" si="5"/>
        <v>0</v>
      </c>
      <c r="AG5" s="26">
        <f t="shared" si="5"/>
        <v>0</v>
      </c>
      <c r="AH5" s="12">
        <f aca="true" t="shared" si="6" ref="AH5:AH47">ROUND(LARGE(AA5:AG5,1)+LARGE(AA5:AG5,2)+F5,0)</f>
        <v>5147</v>
      </c>
    </row>
    <row r="6" spans="1:34" ht="13.5">
      <c r="A6" s="16" t="str">
        <f t="shared" si="4"/>
        <v>3</v>
      </c>
      <c r="B6" s="16">
        <f t="shared" si="0"/>
      </c>
      <c r="C6" s="17" t="s">
        <v>34</v>
      </c>
      <c r="D6" s="18">
        <v>1979</v>
      </c>
      <c r="E6" s="19">
        <f>ROUND(F6+IF('Men''s Epée'!$A$3=1,G6,0)+LARGE($S6:$Y6,1)+LARGE($S6:$Y6,2),0)</f>
        <v>3366</v>
      </c>
      <c r="F6" s="20">
        <v>1761.35</v>
      </c>
      <c r="G6" s="21"/>
      <c r="H6" s="21">
        <v>5</v>
      </c>
      <c r="I6" s="22">
        <f>IF(OR('Men''s Epée'!$A$3=1,'Men''s Epée'!$S$3=TRUE),IF(OR(H6&gt;=49,ISNUMBER(H6)=FALSE),0,VLOOKUP(H6,PointTable,I$3,TRUE)),0)</f>
        <v>755</v>
      </c>
      <c r="J6" s="21" t="s">
        <v>5</v>
      </c>
      <c r="K6" s="22">
        <f>IF(OR('Men''s Epée'!$A$3=1,'Men''s Epée'!$T$3=TRUE),IF(OR(J6&gt;=49,ISNUMBER(J6)=FALSE),0,VLOOKUP(J6,PointTable,K$3,TRUE)),0)</f>
        <v>0</v>
      </c>
      <c r="L6" s="21">
        <v>3</v>
      </c>
      <c r="M6" s="22">
        <f>IF(OR('Men''s Epée'!$A$3=1,'Men''s Epée'!$U$3=TRUE),IF(OR(L6&gt;=49,ISNUMBER(L6)=FALSE),0,VLOOKUP(L6,PointTable,M$3,TRUE)),0)</f>
        <v>850</v>
      </c>
      <c r="N6" s="23"/>
      <c r="O6" s="23"/>
      <c r="P6" s="23"/>
      <c r="Q6" s="24"/>
      <c r="S6" s="25">
        <f t="shared" si="1"/>
        <v>755</v>
      </c>
      <c r="T6" s="25">
        <f t="shared" si="2"/>
        <v>0</v>
      </c>
      <c r="U6" s="25">
        <f t="shared" si="3"/>
        <v>850</v>
      </c>
      <c r="V6" s="25">
        <f>IF(OR('Men''s Epée'!$A$3=1,N6&gt;0),ABS(N6),0)</f>
        <v>0</v>
      </c>
      <c r="W6" s="25">
        <f>IF(OR('Men''s Epée'!$A$3=1,O6&gt;0),ABS(O6),0)</f>
        <v>0</v>
      </c>
      <c r="X6" s="25">
        <f>IF(OR('Men''s Epée'!$A$3=1,P6&gt;0),ABS(P6),0)</f>
        <v>0</v>
      </c>
      <c r="Y6" s="25">
        <f>IF(OR('Men''s Epée'!$A$3=1,Q6&gt;0),ABS(Q6),0)</f>
        <v>0</v>
      </c>
      <c r="AA6" s="12">
        <f>IF('Men''s Epée'!$S$3=TRUE,I6,0)</f>
        <v>755</v>
      </c>
      <c r="AB6" s="12">
        <f>IF('Men''s Epée'!$T$3=TRUE,K6,0)</f>
        <v>0</v>
      </c>
      <c r="AC6" s="12">
        <f>IF('Men''s Epée'!$U$3=TRUE,M6,0)</f>
        <v>850</v>
      </c>
      <c r="AD6" s="26">
        <f t="shared" si="5"/>
        <v>0</v>
      </c>
      <c r="AE6" s="26">
        <f t="shared" si="5"/>
        <v>0</v>
      </c>
      <c r="AF6" s="26">
        <f t="shared" si="5"/>
        <v>0</v>
      </c>
      <c r="AG6" s="26">
        <f t="shared" si="5"/>
        <v>0</v>
      </c>
      <c r="AH6" s="12">
        <f t="shared" si="6"/>
        <v>3366</v>
      </c>
    </row>
    <row r="7" spans="1:34" ht="13.5">
      <c r="A7" s="16" t="str">
        <f t="shared" si="4"/>
        <v>4</v>
      </c>
      <c r="B7" s="16">
        <f t="shared" si="0"/>
      </c>
      <c r="C7" s="17" t="s">
        <v>36</v>
      </c>
      <c r="D7" s="18">
        <v>1971</v>
      </c>
      <c r="E7" s="19">
        <f>ROUND(F7+IF('Men''s Epée'!$A$3=1,G7,0)+LARGE($S7:$Y7,1)+LARGE($S7:$Y7,2),0)</f>
        <v>2448</v>
      </c>
      <c r="F7" s="20">
        <v>912.92</v>
      </c>
      <c r="G7" s="21"/>
      <c r="H7" s="21">
        <v>3</v>
      </c>
      <c r="I7" s="22">
        <f>IF(OR('Men''s Epée'!$A$3=1,'Men''s Epée'!$S$3=TRUE),IF(OR(H7&gt;=49,ISNUMBER(H7)=FALSE),0,VLOOKUP(H7,PointTable,I$3,TRUE)),0)</f>
        <v>840</v>
      </c>
      <c r="J7" s="21" t="s">
        <v>5</v>
      </c>
      <c r="K7" s="22">
        <f>IF(OR('Men''s Epée'!$A$3=1,'Men''s Epée'!$T$3=TRUE),IF(OR(J7&gt;=49,ISNUMBER(J7)=FALSE),0,VLOOKUP(J7,PointTable,K$3,TRUE)),0)</f>
        <v>0</v>
      </c>
      <c r="L7" s="21">
        <v>6</v>
      </c>
      <c r="M7" s="22">
        <f>IF(OR('Men''s Epée'!$A$3=1,'Men''s Epée'!$U$3=TRUE),IF(OR(L7&gt;=49,ISNUMBER(L7)=FALSE),0,VLOOKUP(L7,PointTable,M$3,TRUE)),0)</f>
        <v>695</v>
      </c>
      <c r="N7" s="23"/>
      <c r="O7" s="23"/>
      <c r="P7" s="23"/>
      <c r="Q7" s="24"/>
      <c r="S7" s="25">
        <f t="shared" si="1"/>
        <v>840</v>
      </c>
      <c r="T7" s="25">
        <f t="shared" si="2"/>
        <v>0</v>
      </c>
      <c r="U7" s="25">
        <f t="shared" si="3"/>
        <v>695</v>
      </c>
      <c r="V7" s="25">
        <f>IF(OR('Men''s Epée'!$A$3=1,N7&gt;0),ABS(N7),0)</f>
        <v>0</v>
      </c>
      <c r="W7" s="25">
        <f>IF(OR('Men''s Epée'!$A$3=1,O7&gt;0),ABS(O7),0)</f>
        <v>0</v>
      </c>
      <c r="X7" s="25">
        <f>IF(OR('Men''s Epée'!$A$3=1,P7&gt;0),ABS(P7),0)</f>
        <v>0</v>
      </c>
      <c r="Y7" s="25">
        <f>IF(OR('Men''s Epée'!$A$3=1,Q7&gt;0),ABS(Q7),0)</f>
        <v>0</v>
      </c>
      <c r="AA7" s="12">
        <f>IF('Men''s Epée'!$S$3=TRUE,I7,0)</f>
        <v>840</v>
      </c>
      <c r="AB7" s="12">
        <f>IF('Men''s Epée'!$T$3=TRUE,K7,0)</f>
        <v>0</v>
      </c>
      <c r="AC7" s="12">
        <f>IF('Men''s Epée'!$U$3=TRUE,M7,0)</f>
        <v>695</v>
      </c>
      <c r="AD7" s="26">
        <f t="shared" si="5"/>
        <v>0</v>
      </c>
      <c r="AE7" s="26">
        <f t="shared" si="5"/>
        <v>0</v>
      </c>
      <c r="AF7" s="26">
        <f t="shared" si="5"/>
        <v>0</v>
      </c>
      <c r="AG7" s="26">
        <f t="shared" si="5"/>
        <v>0</v>
      </c>
      <c r="AH7" s="12">
        <f t="shared" si="6"/>
        <v>2448</v>
      </c>
    </row>
    <row r="8" spans="1:34" ht="13.5">
      <c r="A8" s="16" t="str">
        <f t="shared" si="4"/>
        <v>5</v>
      </c>
      <c r="B8" s="16" t="str">
        <f t="shared" si="0"/>
        <v>#</v>
      </c>
      <c r="C8" s="17" t="s">
        <v>335</v>
      </c>
      <c r="D8" s="18">
        <v>1985</v>
      </c>
      <c r="E8" s="19">
        <f>ROUND(F8+IF('Men''s Epée'!$A$3=1,G8,0)+LARGE($S8:$Y8,1)+LARGE($S8:$Y8,2),0)</f>
        <v>2237</v>
      </c>
      <c r="F8" s="20">
        <v>1131.546</v>
      </c>
      <c r="G8" s="21"/>
      <c r="H8" s="21" t="s">
        <v>5</v>
      </c>
      <c r="I8" s="22">
        <f>IF(OR('Men''s Epée'!$A$3=1,'Men''s Epée'!$S$3=TRUE),IF(OR(H8&gt;=49,ISNUMBER(H8)=FALSE),0,VLOOKUP(H8,PointTable,I$3,TRUE)),0)</f>
        <v>0</v>
      </c>
      <c r="J8" s="21">
        <v>17</v>
      </c>
      <c r="K8" s="22">
        <f>IF(OR('Men''s Epée'!$A$3=1,'Men''s Epée'!$T$3=TRUE),IF(OR(J8&gt;=49,ISNUMBER(J8)=FALSE),0,VLOOKUP(J8,PointTable,K$3,TRUE)),0)</f>
        <v>415</v>
      </c>
      <c r="L8" s="21">
        <v>7</v>
      </c>
      <c r="M8" s="22">
        <f>IF(OR('Men''s Epée'!$A$3=1,'Men''s Epée'!$U$3=TRUE),IF(OR(L8&gt;=49,ISNUMBER(L8)=FALSE),0,VLOOKUP(L8,PointTable,M$3,TRUE)),0)</f>
        <v>690</v>
      </c>
      <c r="N8" s="23"/>
      <c r="O8" s="23"/>
      <c r="P8" s="23"/>
      <c r="Q8" s="24"/>
      <c r="S8" s="25">
        <f t="shared" si="1"/>
        <v>0</v>
      </c>
      <c r="T8" s="25">
        <f t="shared" si="2"/>
        <v>415</v>
      </c>
      <c r="U8" s="25">
        <f t="shared" si="3"/>
        <v>690</v>
      </c>
      <c r="V8" s="25">
        <f>IF(OR('Men''s Epée'!$A$3=1,N8&gt;0),ABS(N8),0)</f>
        <v>0</v>
      </c>
      <c r="W8" s="25">
        <f>IF(OR('Men''s Epée'!$A$3=1,O8&gt;0),ABS(O8),0)</f>
        <v>0</v>
      </c>
      <c r="X8" s="25">
        <f>IF(OR('Men''s Epée'!$A$3=1,P8&gt;0),ABS(P8),0)</f>
        <v>0</v>
      </c>
      <c r="Y8" s="25">
        <f>IF(OR('Men''s Epée'!$A$3=1,Q8&gt;0),ABS(Q8),0)</f>
        <v>0</v>
      </c>
      <c r="AA8" s="12">
        <f>IF('Men''s Epée'!$S$3=TRUE,I8,0)</f>
        <v>0</v>
      </c>
      <c r="AB8" s="12">
        <f>IF('Men''s Epée'!$T$3=TRUE,K8,0)</f>
        <v>415</v>
      </c>
      <c r="AC8" s="12">
        <f>IF('Men''s Epée'!$U$3=TRUE,M8,0)</f>
        <v>690</v>
      </c>
      <c r="AD8" s="26">
        <f t="shared" si="5"/>
        <v>0</v>
      </c>
      <c r="AE8" s="26">
        <f t="shared" si="5"/>
        <v>0</v>
      </c>
      <c r="AF8" s="26">
        <f t="shared" si="5"/>
        <v>0</v>
      </c>
      <c r="AG8" s="26">
        <f t="shared" si="5"/>
        <v>0</v>
      </c>
      <c r="AH8" s="12">
        <f t="shared" si="6"/>
        <v>2237</v>
      </c>
    </row>
    <row r="9" spans="1:34" ht="13.5">
      <c r="A9" s="16" t="str">
        <f t="shared" si="4"/>
        <v>6</v>
      </c>
      <c r="B9" s="16" t="str">
        <f t="shared" si="0"/>
        <v>#</v>
      </c>
      <c r="C9" s="17" t="s">
        <v>123</v>
      </c>
      <c r="D9" s="18">
        <v>1984</v>
      </c>
      <c r="E9" s="19">
        <f>ROUND(F9+IF('Men''s Epée'!$A$3=1,G9,0)+LARGE($S9:$Y9,1)+LARGE($S9:$Y9,2),0)</f>
        <v>2169</v>
      </c>
      <c r="F9" s="20">
        <v>644</v>
      </c>
      <c r="G9" s="21"/>
      <c r="H9" s="21">
        <v>20</v>
      </c>
      <c r="I9" s="22">
        <f>IF(OR('Men''s Epée'!$A$3=1,'Men''s Epée'!$S$3=TRUE),IF(OR(H9&gt;=49,ISNUMBER(H9)=FALSE),0,VLOOKUP(H9,PointTable,I$3,TRUE)),0)</f>
        <v>400</v>
      </c>
      <c r="J9" s="21">
        <v>1</v>
      </c>
      <c r="K9" s="22">
        <f>IF(OR('Men''s Epée'!$A$3=1,'Men''s Epée'!$T$3=TRUE),IF(OR(J9&gt;=49,ISNUMBER(J9)=FALSE),0,VLOOKUP(J9,PointTable,K$3,TRUE)),0)</f>
        <v>1000</v>
      </c>
      <c r="L9" s="21">
        <v>11</v>
      </c>
      <c r="M9" s="22">
        <f>IF(OR('Men''s Epée'!$A$3=1,'Men''s Epée'!$U$3=TRUE),IF(OR(L9&gt;=49,ISNUMBER(L9)=FALSE),0,VLOOKUP(L9,PointTable,M$3,TRUE)),0)</f>
        <v>525</v>
      </c>
      <c r="N9" s="23"/>
      <c r="O9" s="23"/>
      <c r="P9" s="23"/>
      <c r="Q9" s="24"/>
      <c r="S9" s="25">
        <f t="shared" si="1"/>
        <v>400</v>
      </c>
      <c r="T9" s="25">
        <f t="shared" si="2"/>
        <v>1000</v>
      </c>
      <c r="U9" s="25">
        <f t="shared" si="3"/>
        <v>525</v>
      </c>
      <c r="V9" s="25">
        <f>IF(OR('Men''s Epée'!$A$3=1,N9&gt;0),ABS(N9),0)</f>
        <v>0</v>
      </c>
      <c r="W9" s="25">
        <f>IF(OR('Men''s Epée'!$A$3=1,O9&gt;0),ABS(O9),0)</f>
        <v>0</v>
      </c>
      <c r="X9" s="25">
        <f>IF(OR('Men''s Epée'!$A$3=1,P9&gt;0),ABS(P9),0)</f>
        <v>0</v>
      </c>
      <c r="Y9" s="25">
        <f>IF(OR('Men''s Epée'!$A$3=1,Q9&gt;0),ABS(Q9),0)</f>
        <v>0</v>
      </c>
      <c r="AA9" s="12">
        <f>IF('Men''s Epée'!$S$3=TRUE,I9,0)</f>
        <v>400</v>
      </c>
      <c r="AB9" s="12">
        <f>IF('Men''s Epée'!$T$3=TRUE,K9,0)</f>
        <v>1000</v>
      </c>
      <c r="AC9" s="12">
        <f>IF('Men''s Epée'!$U$3=TRUE,M9,0)</f>
        <v>525</v>
      </c>
      <c r="AD9" s="26">
        <f t="shared" si="5"/>
        <v>0</v>
      </c>
      <c r="AE9" s="26">
        <f t="shared" si="5"/>
        <v>0</v>
      </c>
      <c r="AF9" s="26">
        <f t="shared" si="5"/>
        <v>0</v>
      </c>
      <c r="AG9" s="26">
        <f t="shared" si="5"/>
        <v>0</v>
      </c>
      <c r="AH9" s="12">
        <f t="shared" si="6"/>
        <v>2169</v>
      </c>
    </row>
    <row r="10" spans="1:34" ht="13.5">
      <c r="A10" s="16" t="str">
        <f t="shared" si="4"/>
        <v>7</v>
      </c>
      <c r="B10" s="16">
        <f t="shared" si="0"/>
      </c>
      <c r="C10" s="17" t="s">
        <v>45</v>
      </c>
      <c r="D10" s="18">
        <v>1978</v>
      </c>
      <c r="E10" s="19">
        <f>ROUND(F10+IF('Men''s Epée'!$A$3=1,G10,0)+LARGE($S10:$Y10,1)+LARGE($S10:$Y10,2),0)</f>
        <v>2044</v>
      </c>
      <c r="F10" s="20">
        <v>593.592</v>
      </c>
      <c r="G10" s="21"/>
      <c r="H10" s="21">
        <v>6</v>
      </c>
      <c r="I10" s="22">
        <f>IF(OR('Men''s Epée'!$A$3=1,'Men''s Epée'!$S$3=TRUE),IF(OR(H10&gt;=49,ISNUMBER(H10)=FALSE),0,VLOOKUP(H10,PointTable,I$3,TRUE)),0)</f>
        <v>735</v>
      </c>
      <c r="J10" s="21">
        <v>7</v>
      </c>
      <c r="K10" s="22">
        <f>IF(OR('Men''s Epée'!$A$3=1,'Men''s Epée'!$T$3=TRUE),IF(OR(J10&gt;=49,ISNUMBER(J10)=FALSE),0,VLOOKUP(J10,PointTable,K$3,TRUE)),0)</f>
        <v>715</v>
      </c>
      <c r="L10" s="21">
        <v>12</v>
      </c>
      <c r="M10" s="22">
        <f>IF(OR('Men''s Epée'!$A$3=1,'Men''s Epée'!$U$3=TRUE),IF(OR(L10&gt;=49,ISNUMBER(L10)=FALSE),0,VLOOKUP(L10,PointTable,M$3,TRUE)),0)</f>
        <v>520</v>
      </c>
      <c r="N10" s="23"/>
      <c r="O10" s="23"/>
      <c r="P10" s="23"/>
      <c r="Q10" s="24"/>
      <c r="S10" s="25">
        <f t="shared" si="1"/>
        <v>735</v>
      </c>
      <c r="T10" s="25">
        <f t="shared" si="2"/>
        <v>715</v>
      </c>
      <c r="U10" s="25">
        <f t="shared" si="3"/>
        <v>520</v>
      </c>
      <c r="V10" s="25">
        <f>IF(OR('Men''s Epée'!$A$3=1,N10&gt;0),ABS(N10),0)</f>
        <v>0</v>
      </c>
      <c r="W10" s="25">
        <f>IF(OR('Men''s Epée'!$A$3=1,O10&gt;0),ABS(O10),0)</f>
        <v>0</v>
      </c>
      <c r="X10" s="25">
        <f>IF(OR('Men''s Epée'!$A$3=1,P10&gt;0),ABS(P10),0)</f>
        <v>0</v>
      </c>
      <c r="Y10" s="25">
        <f>IF(OR('Men''s Epée'!$A$3=1,Q10&gt;0),ABS(Q10),0)</f>
        <v>0</v>
      </c>
      <c r="AA10" s="12">
        <f>IF('Men''s Epée'!$S$3=TRUE,I10,0)</f>
        <v>735</v>
      </c>
      <c r="AB10" s="12">
        <f>IF('Men''s Epée'!$T$3=TRUE,K10,0)</f>
        <v>715</v>
      </c>
      <c r="AC10" s="12">
        <f>IF('Men''s Epée'!$U$3=TRUE,M10,0)</f>
        <v>520</v>
      </c>
      <c r="AD10" s="26">
        <f t="shared" si="5"/>
        <v>0</v>
      </c>
      <c r="AE10" s="26">
        <f t="shared" si="5"/>
        <v>0</v>
      </c>
      <c r="AF10" s="26">
        <f t="shared" si="5"/>
        <v>0</v>
      </c>
      <c r="AG10" s="26">
        <f t="shared" si="5"/>
        <v>0</v>
      </c>
      <c r="AH10" s="12">
        <f t="shared" si="6"/>
        <v>2044</v>
      </c>
    </row>
    <row r="11" spans="1:34" ht="13.5">
      <c r="A11" s="16" t="str">
        <f t="shared" si="4"/>
        <v>8</v>
      </c>
      <c r="B11" s="16" t="str">
        <f t="shared" si="0"/>
        <v>#</v>
      </c>
      <c r="C11" s="17" t="s">
        <v>103</v>
      </c>
      <c r="D11" s="18">
        <v>1983</v>
      </c>
      <c r="E11" s="19">
        <f>ROUND(F11+IF('Men''s Epée'!$A$3=1,G11,0)+LARGE($S11:$Y11,1)+LARGE($S11:$Y11,2),0)</f>
        <v>1952</v>
      </c>
      <c r="F11" s="20">
        <v>924.438</v>
      </c>
      <c r="G11" s="21"/>
      <c r="H11" s="21">
        <v>15</v>
      </c>
      <c r="I11" s="22">
        <f>IF(OR('Men''s Epée'!$A$3=1,'Men''s Epée'!$S$3=TRUE),IF(OR(H11&gt;=49,ISNUMBER(H11)=FALSE),0,VLOOKUP(H11,PointTable,I$3,TRUE)),0)</f>
        <v>495</v>
      </c>
      <c r="J11" s="21">
        <v>34.5</v>
      </c>
      <c r="K11" s="22">
        <f>IF(OR('Men''s Epée'!$A$3=1,'Men''s Epée'!$T$3=TRUE),IF(OR(J11&gt;=49,ISNUMBER(J11)=FALSE),0,VLOOKUP(J11,PointTable,K$3,TRUE)),0)</f>
        <v>267.5</v>
      </c>
      <c r="L11" s="21">
        <v>9.5</v>
      </c>
      <c r="M11" s="22">
        <f>IF(OR('Men''s Epée'!$A$3=1,'Men''s Epée'!$U$3=TRUE),IF(OR(L11&gt;=49,ISNUMBER(L11)=FALSE),0,VLOOKUP(L11,PointTable,M$3,TRUE)),0)</f>
        <v>532.5</v>
      </c>
      <c r="N11" s="23"/>
      <c r="O11" s="23"/>
      <c r="P11" s="23"/>
      <c r="Q11" s="24"/>
      <c r="S11" s="25">
        <f t="shared" si="1"/>
        <v>495</v>
      </c>
      <c r="T11" s="25">
        <f t="shared" si="2"/>
        <v>267.5</v>
      </c>
      <c r="U11" s="25">
        <f t="shared" si="3"/>
        <v>532.5</v>
      </c>
      <c r="V11" s="25">
        <f>IF(OR('Men''s Epée'!$A$3=1,N11&gt;0),ABS(N11),0)</f>
        <v>0</v>
      </c>
      <c r="W11" s="25">
        <f>IF(OR('Men''s Epée'!$A$3=1,O11&gt;0),ABS(O11),0)</f>
        <v>0</v>
      </c>
      <c r="X11" s="25">
        <f>IF(OR('Men''s Epée'!$A$3=1,P11&gt;0),ABS(P11),0)</f>
        <v>0</v>
      </c>
      <c r="Y11" s="25">
        <f>IF(OR('Men''s Epée'!$A$3=1,Q11&gt;0),ABS(Q11),0)</f>
        <v>0</v>
      </c>
      <c r="AA11" s="12">
        <f>IF('Men''s Epée'!$S$3=TRUE,I11,0)</f>
        <v>495</v>
      </c>
      <c r="AB11" s="12">
        <f>IF('Men''s Epée'!$T$3=TRUE,K11,0)</f>
        <v>267.5</v>
      </c>
      <c r="AC11" s="12">
        <f>IF('Men''s Epée'!$U$3=TRUE,M11,0)</f>
        <v>532.5</v>
      </c>
      <c r="AD11" s="26">
        <f t="shared" si="5"/>
        <v>0</v>
      </c>
      <c r="AE11" s="26">
        <f t="shared" si="5"/>
        <v>0</v>
      </c>
      <c r="AF11" s="26">
        <f t="shared" si="5"/>
        <v>0</v>
      </c>
      <c r="AG11" s="26">
        <f t="shared" si="5"/>
        <v>0</v>
      </c>
      <c r="AH11" s="12">
        <f t="shared" si="6"/>
        <v>1952</v>
      </c>
    </row>
    <row r="12" spans="1:34" ht="13.5">
      <c r="A12" s="16" t="str">
        <f t="shared" si="4"/>
        <v>9</v>
      </c>
      <c r="B12" s="16" t="str">
        <f t="shared" si="0"/>
        <v>#</v>
      </c>
      <c r="C12" s="17" t="s">
        <v>112</v>
      </c>
      <c r="D12" s="18">
        <v>1984</v>
      </c>
      <c r="E12" s="19">
        <f>ROUND(F12+IF('Men''s Epée'!$A$3=1,G12,0)+LARGE($S12:$Y12,1)+LARGE($S12:$Y12,2),0)</f>
        <v>1943</v>
      </c>
      <c r="F12" s="20">
        <v>168</v>
      </c>
      <c r="G12" s="21"/>
      <c r="H12" s="21">
        <v>27.5</v>
      </c>
      <c r="I12" s="22">
        <f>IF(OR('Men''s Epée'!$A$3=1,'Men''s Epée'!$S$3=TRUE),IF(OR(H12&gt;=49,ISNUMBER(H12)=FALSE),0,VLOOKUP(H12,PointTable,I$3,TRUE)),0)</f>
        <v>302.5</v>
      </c>
      <c r="J12" s="21">
        <v>2</v>
      </c>
      <c r="K12" s="22">
        <f>IF(OR('Men''s Epée'!$A$3=1,'Men''s Epée'!$T$3=TRUE),IF(OR(J12&gt;=49,ISNUMBER(J12)=FALSE),0,VLOOKUP(J12,PointTable,K$3,TRUE)),0)</f>
        <v>925</v>
      </c>
      <c r="L12" s="21">
        <v>3</v>
      </c>
      <c r="M12" s="22">
        <f>IF(OR('Men''s Epée'!$A$3=1,'Men''s Epée'!$U$3=TRUE),IF(OR(L12&gt;=49,ISNUMBER(L12)=FALSE),0,VLOOKUP(L12,PointTable,M$3,TRUE)),0)</f>
        <v>850</v>
      </c>
      <c r="N12" s="23"/>
      <c r="O12" s="23"/>
      <c r="P12" s="23"/>
      <c r="Q12" s="24"/>
      <c r="S12" s="25">
        <f t="shared" si="1"/>
        <v>302.5</v>
      </c>
      <c r="T12" s="25">
        <f t="shared" si="2"/>
        <v>925</v>
      </c>
      <c r="U12" s="25">
        <f t="shared" si="3"/>
        <v>850</v>
      </c>
      <c r="V12" s="25">
        <f>IF(OR('Men''s Epée'!$A$3=1,N12&gt;0),ABS(N12),0)</f>
        <v>0</v>
      </c>
      <c r="W12" s="25">
        <f>IF(OR('Men''s Epée'!$A$3=1,O12&gt;0),ABS(O12),0)</f>
        <v>0</v>
      </c>
      <c r="X12" s="25">
        <f>IF(OR('Men''s Epée'!$A$3=1,P12&gt;0),ABS(P12),0)</f>
        <v>0</v>
      </c>
      <c r="Y12" s="25">
        <f>IF(OR('Men''s Epée'!$A$3=1,Q12&gt;0),ABS(Q12),0)</f>
        <v>0</v>
      </c>
      <c r="AA12" s="12">
        <f>IF('Men''s Epée'!$S$3=TRUE,I12,0)</f>
        <v>302.5</v>
      </c>
      <c r="AB12" s="12">
        <f>IF('Men''s Epée'!$T$3=TRUE,K12,0)</f>
        <v>925</v>
      </c>
      <c r="AC12" s="12">
        <f>IF('Men''s Epée'!$U$3=TRUE,M12,0)</f>
        <v>850</v>
      </c>
      <c r="AD12" s="26">
        <f t="shared" si="5"/>
        <v>0</v>
      </c>
      <c r="AE12" s="26">
        <f t="shared" si="5"/>
        <v>0</v>
      </c>
      <c r="AF12" s="26">
        <f t="shared" si="5"/>
        <v>0</v>
      </c>
      <c r="AG12" s="26">
        <f t="shared" si="5"/>
        <v>0</v>
      </c>
      <c r="AH12" s="12">
        <f t="shared" si="6"/>
        <v>1943</v>
      </c>
    </row>
    <row r="13" spans="1:34" ht="13.5">
      <c r="A13" s="16" t="str">
        <f t="shared" si="4"/>
        <v>10</v>
      </c>
      <c r="B13" s="16" t="str">
        <f t="shared" si="0"/>
        <v>#</v>
      </c>
      <c r="C13" s="17" t="s">
        <v>39</v>
      </c>
      <c r="D13" s="18">
        <v>1983</v>
      </c>
      <c r="E13" s="19">
        <f>ROUND(F13+IF('Men''s Epée'!$A$3=1,G13,0)+LARGE($S13:$Y13,1)+LARGE($S13:$Y13,2),0)</f>
        <v>1891</v>
      </c>
      <c r="F13" s="20">
        <v>296</v>
      </c>
      <c r="G13" s="21"/>
      <c r="H13" s="21">
        <v>3</v>
      </c>
      <c r="I13" s="22">
        <f>IF(OR('Men''s Epée'!$A$3=1,'Men''s Epée'!$S$3=TRUE),IF(OR(H13&gt;=49,ISNUMBER(H13)=FALSE),0,VLOOKUP(H13,PointTable,I$3,TRUE)),0)</f>
        <v>840</v>
      </c>
      <c r="J13" s="21">
        <v>5</v>
      </c>
      <c r="K13" s="22">
        <f>IF(OR('Men''s Epée'!$A$3=1,'Men''s Epée'!$T$3=TRUE),IF(OR(J13&gt;=49,ISNUMBER(J13)=FALSE),0,VLOOKUP(J13,PointTable,K$3,TRUE)),0)</f>
        <v>755</v>
      </c>
      <c r="L13" s="21">
        <v>8</v>
      </c>
      <c r="M13" s="22">
        <f>IF(OR('Men''s Epée'!$A$3=1,'Men''s Epée'!$U$3=TRUE),IF(OR(L13&gt;=49,ISNUMBER(L13)=FALSE),0,VLOOKUP(L13,PointTable,M$3,TRUE)),0)</f>
        <v>685</v>
      </c>
      <c r="N13" s="23"/>
      <c r="O13" s="23"/>
      <c r="P13" s="23"/>
      <c r="Q13" s="24"/>
      <c r="S13" s="25">
        <f t="shared" si="1"/>
        <v>840</v>
      </c>
      <c r="T13" s="25">
        <f t="shared" si="2"/>
        <v>755</v>
      </c>
      <c r="U13" s="25">
        <f t="shared" si="3"/>
        <v>685</v>
      </c>
      <c r="V13" s="25">
        <f>IF(OR('Men''s Epée'!$A$3=1,N13&gt;0),ABS(N13),0)</f>
        <v>0</v>
      </c>
      <c r="W13" s="25">
        <f>IF(OR('Men''s Epée'!$A$3=1,O13&gt;0),ABS(O13),0)</f>
        <v>0</v>
      </c>
      <c r="X13" s="25">
        <f>IF(OR('Men''s Epée'!$A$3=1,P13&gt;0),ABS(P13),0)</f>
        <v>0</v>
      </c>
      <c r="Y13" s="25">
        <f>IF(OR('Men''s Epée'!$A$3=1,Q13&gt;0),ABS(Q13),0)</f>
        <v>0</v>
      </c>
      <c r="AA13" s="12">
        <f>IF('Men''s Epée'!$S$3=TRUE,I13,0)</f>
        <v>840</v>
      </c>
      <c r="AB13" s="12">
        <f>IF('Men''s Epée'!$T$3=TRUE,K13,0)</f>
        <v>755</v>
      </c>
      <c r="AC13" s="12">
        <f>IF('Men''s Epée'!$U$3=TRUE,M13,0)</f>
        <v>685</v>
      </c>
      <c r="AD13" s="26">
        <f t="shared" si="5"/>
        <v>0</v>
      </c>
      <c r="AE13" s="26">
        <f t="shared" si="5"/>
        <v>0</v>
      </c>
      <c r="AF13" s="26">
        <f t="shared" si="5"/>
        <v>0</v>
      </c>
      <c r="AG13" s="26">
        <f t="shared" si="5"/>
        <v>0</v>
      </c>
      <c r="AH13" s="12">
        <f t="shared" si="6"/>
        <v>1891</v>
      </c>
    </row>
    <row r="14" spans="1:34" ht="13.5">
      <c r="A14" s="16" t="str">
        <f t="shared" si="4"/>
        <v>11</v>
      </c>
      <c r="B14" s="16" t="str">
        <f t="shared" si="0"/>
        <v>#</v>
      </c>
      <c r="C14" s="17" t="s">
        <v>130</v>
      </c>
      <c r="D14" s="18">
        <v>1985</v>
      </c>
      <c r="E14" s="19">
        <f>ROUND(F14+IF('Men''s Epée'!$A$3=1,G14,0)+LARGE($S14:$Y14,1)+LARGE($S14:$Y14,2),0)</f>
        <v>1594</v>
      </c>
      <c r="F14" s="20">
        <v>144</v>
      </c>
      <c r="G14" s="21"/>
      <c r="H14" s="21">
        <v>7</v>
      </c>
      <c r="I14" s="22">
        <f>IF(OR('Men''s Epée'!$A$3=1,'Men''s Epée'!$S$3=TRUE),IF(OR(H14&gt;=49,ISNUMBER(H14)=FALSE),0,VLOOKUP(H14,PointTable,I$3,TRUE)),0)</f>
        <v>715</v>
      </c>
      <c r="J14" s="21">
        <v>6</v>
      </c>
      <c r="K14" s="22">
        <f>IF(OR('Men''s Epée'!$A$3=1,'Men''s Epée'!$T$3=TRUE),IF(OR(J14&gt;=49,ISNUMBER(J14)=FALSE),0,VLOOKUP(J14,PointTable,K$3,TRUE)),0)</f>
        <v>735</v>
      </c>
      <c r="L14" s="21" t="s">
        <v>5</v>
      </c>
      <c r="M14" s="22">
        <f>IF(OR('Men''s Epée'!$A$3=1,'Men''s Epée'!$U$3=TRUE),IF(OR(L14&gt;=49,ISNUMBER(L14)=FALSE),0,VLOOKUP(L14,PointTable,M$3,TRUE)),0)</f>
        <v>0</v>
      </c>
      <c r="N14" s="23"/>
      <c r="O14" s="23"/>
      <c r="P14" s="23"/>
      <c r="Q14" s="24"/>
      <c r="S14" s="25">
        <f t="shared" si="1"/>
        <v>715</v>
      </c>
      <c r="T14" s="25">
        <f t="shared" si="2"/>
        <v>735</v>
      </c>
      <c r="U14" s="25">
        <f t="shared" si="3"/>
        <v>0</v>
      </c>
      <c r="V14" s="25">
        <f>IF(OR('Men''s Epée'!$A$3=1,N14&gt;0),ABS(N14),0)</f>
        <v>0</v>
      </c>
      <c r="W14" s="25">
        <f>IF(OR('Men''s Epée'!$A$3=1,O14&gt;0),ABS(O14),0)</f>
        <v>0</v>
      </c>
      <c r="X14" s="25">
        <f>IF(OR('Men''s Epée'!$A$3=1,P14&gt;0),ABS(P14),0)</f>
        <v>0</v>
      </c>
      <c r="Y14" s="25">
        <f>IF(OR('Men''s Epée'!$A$3=1,Q14&gt;0),ABS(Q14),0)</f>
        <v>0</v>
      </c>
      <c r="AA14" s="12">
        <f>IF('Men''s Epée'!$S$3=TRUE,I14,0)</f>
        <v>715</v>
      </c>
      <c r="AB14" s="12">
        <f>IF('Men''s Epée'!$T$3=TRUE,K14,0)</f>
        <v>735</v>
      </c>
      <c r="AC14" s="12">
        <f>IF('Men''s Epée'!$U$3=TRUE,M14,0)</f>
        <v>0</v>
      </c>
      <c r="AD14" s="26">
        <f t="shared" si="5"/>
        <v>0</v>
      </c>
      <c r="AE14" s="26">
        <f t="shared" si="5"/>
        <v>0</v>
      </c>
      <c r="AF14" s="26">
        <f t="shared" si="5"/>
        <v>0</v>
      </c>
      <c r="AG14" s="26">
        <f t="shared" si="5"/>
        <v>0</v>
      </c>
      <c r="AH14" s="12">
        <f t="shared" si="6"/>
        <v>1594</v>
      </c>
    </row>
    <row r="15" spans="1:34" ht="13.5">
      <c r="A15" s="16" t="str">
        <f t="shared" si="4"/>
        <v>12</v>
      </c>
      <c r="B15" s="16" t="str">
        <f t="shared" si="0"/>
        <v>#</v>
      </c>
      <c r="C15" s="17" t="s">
        <v>261</v>
      </c>
      <c r="D15" s="18">
        <v>1984</v>
      </c>
      <c r="E15" s="19">
        <f>ROUND(F15+IF('Men''s Epée'!$A$3=1,G15,0)+LARGE($S15:$Y15,1)+LARGE($S15:$Y15,2),0)</f>
        <v>1320</v>
      </c>
      <c r="F15" s="20"/>
      <c r="G15" s="21"/>
      <c r="H15" s="21">
        <v>17</v>
      </c>
      <c r="I15" s="22">
        <f>IF(OR('Men''s Epée'!$A$3=1,'Men''s Epée'!$S$3=TRUE),IF(OR(H15&gt;=49,ISNUMBER(H15)=FALSE),0,VLOOKUP(H15,PointTable,I$3,TRUE)),0)</f>
        <v>415</v>
      </c>
      <c r="J15" s="21">
        <v>9</v>
      </c>
      <c r="K15" s="22">
        <f>IF(OR('Men''s Epée'!$A$3=1,'Men''s Epée'!$T$3=TRUE),IF(OR(J15&gt;=49,ISNUMBER(J15)=FALSE),0,VLOOKUP(J15,PointTable,K$3,TRUE)),0)</f>
        <v>620</v>
      </c>
      <c r="L15" s="21">
        <v>5</v>
      </c>
      <c r="M15" s="22">
        <f>IF(OR('Men''s Epée'!$A$3=1,'Men''s Epée'!$U$3=TRUE),IF(OR(L15&gt;=49,ISNUMBER(L15)=FALSE),0,VLOOKUP(L15,PointTable,M$3,TRUE)),0)</f>
        <v>700</v>
      </c>
      <c r="N15" s="23"/>
      <c r="O15" s="23"/>
      <c r="P15" s="23"/>
      <c r="Q15" s="24"/>
      <c r="S15" s="25">
        <f t="shared" si="1"/>
        <v>415</v>
      </c>
      <c r="T15" s="25">
        <f t="shared" si="2"/>
        <v>620</v>
      </c>
      <c r="U15" s="25">
        <f t="shared" si="3"/>
        <v>700</v>
      </c>
      <c r="V15" s="25">
        <f>IF(OR('Men''s Epée'!$A$3=1,N15&gt;0),ABS(N15),0)</f>
        <v>0</v>
      </c>
      <c r="W15" s="25">
        <f>IF(OR('Men''s Epée'!$A$3=1,O15&gt;0),ABS(O15),0)</f>
        <v>0</v>
      </c>
      <c r="X15" s="25">
        <f>IF(OR('Men''s Epée'!$A$3=1,P15&gt;0),ABS(P15),0)</f>
        <v>0</v>
      </c>
      <c r="Y15" s="25">
        <f>IF(OR('Men''s Epée'!$A$3=1,Q15&gt;0),ABS(Q15),0)</f>
        <v>0</v>
      </c>
      <c r="AA15" s="12">
        <f>IF('Men''s Epée'!$S$3=TRUE,I15,0)</f>
        <v>415</v>
      </c>
      <c r="AB15" s="12">
        <f>IF('Men''s Epée'!$T$3=TRUE,K15,0)</f>
        <v>620</v>
      </c>
      <c r="AC15" s="12">
        <f>IF('Men''s Epée'!$U$3=TRUE,M15,0)</f>
        <v>700</v>
      </c>
      <c r="AD15" s="26">
        <f t="shared" si="5"/>
        <v>0</v>
      </c>
      <c r="AE15" s="26">
        <f t="shared" si="5"/>
        <v>0</v>
      </c>
      <c r="AF15" s="26">
        <f t="shared" si="5"/>
        <v>0</v>
      </c>
      <c r="AG15" s="26">
        <f t="shared" si="5"/>
        <v>0</v>
      </c>
      <c r="AH15" s="12">
        <f t="shared" si="6"/>
        <v>1320</v>
      </c>
    </row>
    <row r="16" spans="1:34" ht="13.5">
      <c r="A16" s="16" t="str">
        <f t="shared" si="4"/>
        <v>13</v>
      </c>
      <c r="B16" s="16">
        <f t="shared" si="0"/>
      </c>
      <c r="C16" s="17" t="s">
        <v>33</v>
      </c>
      <c r="D16" s="18">
        <v>1978</v>
      </c>
      <c r="E16" s="19">
        <f>ROUND(F16+IF('Men''s Epée'!$A$3=1,G16,0)+LARGE($S16:$Y16,1)+LARGE($S16:$Y16,2),0)</f>
        <v>1307</v>
      </c>
      <c r="F16" s="20">
        <v>192</v>
      </c>
      <c r="G16" s="21"/>
      <c r="H16" s="21">
        <v>10</v>
      </c>
      <c r="I16" s="22">
        <f>IF(OR('Men''s Epée'!$A$3=1,'Men''s Epée'!$S$3=TRUE),IF(OR(H16&gt;=49,ISNUMBER(H16)=FALSE),0,VLOOKUP(H16,PointTable,I$3,TRUE)),0)</f>
        <v>605</v>
      </c>
      <c r="J16" s="21">
        <v>18</v>
      </c>
      <c r="K16" s="22">
        <f>IF(OR('Men''s Epée'!$A$3=1,'Men''s Epée'!$T$3=TRUE),IF(OR(J16&gt;=49,ISNUMBER(J16)=FALSE),0,VLOOKUP(J16,PointTable,K$3,TRUE)),0)</f>
        <v>410</v>
      </c>
      <c r="L16" s="21">
        <v>14</v>
      </c>
      <c r="M16" s="22">
        <f>IF(OR('Men''s Epée'!$A$3=1,'Men''s Epée'!$U$3=TRUE),IF(OR(L16&gt;=49,ISNUMBER(L16)=FALSE),0,VLOOKUP(L16,PointTable,M$3,TRUE)),0)</f>
        <v>510</v>
      </c>
      <c r="N16" s="23"/>
      <c r="O16" s="23"/>
      <c r="P16" s="23"/>
      <c r="Q16" s="24"/>
      <c r="S16" s="25">
        <f t="shared" si="1"/>
        <v>605</v>
      </c>
      <c r="T16" s="25">
        <f t="shared" si="2"/>
        <v>410</v>
      </c>
      <c r="U16" s="25">
        <f t="shared" si="3"/>
        <v>510</v>
      </c>
      <c r="V16" s="25">
        <f>IF(OR('Men''s Epée'!$A$3=1,N16&gt;0),ABS(N16),0)</f>
        <v>0</v>
      </c>
      <c r="W16" s="25">
        <f>IF(OR('Men''s Epée'!$A$3=1,O16&gt;0),ABS(O16),0)</f>
        <v>0</v>
      </c>
      <c r="X16" s="25">
        <f>IF(OR('Men''s Epée'!$A$3=1,P16&gt;0),ABS(P16),0)</f>
        <v>0</v>
      </c>
      <c r="Y16" s="25">
        <f>IF(OR('Men''s Epée'!$A$3=1,Q16&gt;0),ABS(Q16),0)</f>
        <v>0</v>
      </c>
      <c r="AA16" s="12">
        <f>IF('Men''s Epée'!$S$3=TRUE,I16,0)</f>
        <v>605</v>
      </c>
      <c r="AB16" s="12">
        <f>IF('Men''s Epée'!$T$3=TRUE,K16,0)</f>
        <v>410</v>
      </c>
      <c r="AC16" s="12">
        <f>IF('Men''s Epée'!$U$3=TRUE,M16,0)</f>
        <v>510</v>
      </c>
      <c r="AD16" s="26">
        <f t="shared" si="5"/>
        <v>0</v>
      </c>
      <c r="AE16" s="26">
        <f t="shared" si="5"/>
        <v>0</v>
      </c>
      <c r="AF16" s="26">
        <f t="shared" si="5"/>
        <v>0</v>
      </c>
      <c r="AG16" s="26">
        <f t="shared" si="5"/>
        <v>0</v>
      </c>
      <c r="AH16" s="12">
        <f t="shared" si="6"/>
        <v>1307</v>
      </c>
    </row>
    <row r="17" spans="1:34" ht="13.5">
      <c r="A17" s="16" t="str">
        <f t="shared" si="4"/>
        <v>14</v>
      </c>
      <c r="B17" s="16" t="str">
        <f t="shared" si="0"/>
        <v>#</v>
      </c>
      <c r="C17" s="17" t="s">
        <v>107</v>
      </c>
      <c r="D17" s="18">
        <v>1984</v>
      </c>
      <c r="E17" s="19">
        <f>ROUND(F17+IF('Men''s Epée'!$A$3=1,G17,0)+LARGE($S17:$Y17,1)+LARGE($S17:$Y17,2),0)</f>
        <v>1297</v>
      </c>
      <c r="F17" s="20">
        <v>272</v>
      </c>
      <c r="G17" s="21"/>
      <c r="H17" s="21">
        <v>14</v>
      </c>
      <c r="I17" s="22">
        <f>IF(OR('Men''s Epée'!$A$3=1,'Men''s Epée'!$S$3=TRUE),IF(OR(H17&gt;=49,ISNUMBER(H17)=FALSE),0,VLOOKUP(H17,PointTable,I$3,TRUE)),0)</f>
        <v>510</v>
      </c>
      <c r="J17" s="21">
        <v>22</v>
      </c>
      <c r="K17" s="22">
        <f>IF(OR('Men''s Epée'!$A$3=1,'Men''s Epée'!$T$3=TRUE),IF(OR(J17&gt;=49,ISNUMBER(J17)=FALSE),0,VLOOKUP(J17,PointTable,K$3,TRUE)),0)</f>
        <v>390</v>
      </c>
      <c r="L17" s="21">
        <v>13</v>
      </c>
      <c r="M17" s="22">
        <f>IF(OR('Men''s Epée'!$A$3=1,'Men''s Epée'!$U$3=TRUE),IF(OR(L17&gt;=49,ISNUMBER(L17)=FALSE),0,VLOOKUP(L17,PointTable,M$3,TRUE)),0)</f>
        <v>515</v>
      </c>
      <c r="N17" s="23"/>
      <c r="O17" s="23"/>
      <c r="P17" s="23"/>
      <c r="Q17" s="24"/>
      <c r="S17" s="25">
        <f t="shared" si="1"/>
        <v>510</v>
      </c>
      <c r="T17" s="25">
        <f t="shared" si="2"/>
        <v>390</v>
      </c>
      <c r="U17" s="25">
        <f t="shared" si="3"/>
        <v>515</v>
      </c>
      <c r="V17" s="25">
        <f>IF(OR('Men''s Epée'!$A$3=1,N17&gt;0),ABS(N17),0)</f>
        <v>0</v>
      </c>
      <c r="W17" s="25">
        <f>IF(OR('Men''s Epée'!$A$3=1,O17&gt;0),ABS(O17),0)</f>
        <v>0</v>
      </c>
      <c r="X17" s="25">
        <f>IF(OR('Men''s Epée'!$A$3=1,P17&gt;0),ABS(P17),0)</f>
        <v>0</v>
      </c>
      <c r="Y17" s="25">
        <f>IF(OR('Men''s Epée'!$A$3=1,Q17&gt;0),ABS(Q17),0)</f>
        <v>0</v>
      </c>
      <c r="AA17" s="12">
        <f>IF('Men''s Epée'!$S$3=TRUE,I17,0)</f>
        <v>510</v>
      </c>
      <c r="AB17" s="12">
        <f>IF('Men''s Epée'!$T$3=TRUE,K17,0)</f>
        <v>390</v>
      </c>
      <c r="AC17" s="12">
        <f>IF('Men''s Epée'!$U$3=TRUE,M17,0)</f>
        <v>515</v>
      </c>
      <c r="AD17" s="26">
        <f t="shared" si="5"/>
        <v>0</v>
      </c>
      <c r="AE17" s="26">
        <f t="shared" si="5"/>
        <v>0</v>
      </c>
      <c r="AF17" s="26">
        <f t="shared" si="5"/>
        <v>0</v>
      </c>
      <c r="AG17" s="26">
        <f t="shared" si="5"/>
        <v>0</v>
      </c>
      <c r="AH17" s="12">
        <f t="shared" si="6"/>
        <v>1297</v>
      </c>
    </row>
    <row r="18" spans="1:34" ht="13.5">
      <c r="A18" s="16" t="str">
        <f t="shared" si="4"/>
        <v>15</v>
      </c>
      <c r="B18" s="16">
        <f t="shared" si="0"/>
      </c>
      <c r="C18" s="17" t="s">
        <v>41</v>
      </c>
      <c r="D18" s="18">
        <v>1982</v>
      </c>
      <c r="E18" s="19">
        <f>ROUND(F18+IF('Men''s Epée'!$A$3=1,G18,0)+LARGE($S18:$Y18,1)+LARGE($S18:$Y18,2),0)</f>
        <v>1250</v>
      </c>
      <c r="F18" s="20"/>
      <c r="G18" s="21"/>
      <c r="H18" s="21">
        <v>18</v>
      </c>
      <c r="I18" s="22">
        <f>IF(OR('Men''s Epée'!$A$3=1,'Men''s Epée'!$S$3=TRUE),IF(OR(H18&gt;=49,ISNUMBER(H18)=FALSE),0,VLOOKUP(H18,PointTable,I$3,TRUE)),0)</f>
        <v>410</v>
      </c>
      <c r="J18" s="21">
        <v>3</v>
      </c>
      <c r="K18" s="22">
        <f>IF(OR('Men''s Epée'!$A$3=1,'Men''s Epée'!$T$3=TRUE),IF(OR(J18&gt;=49,ISNUMBER(J18)=FALSE),0,VLOOKUP(J18,PointTable,K$3,TRUE)),0)</f>
        <v>840</v>
      </c>
      <c r="L18" s="21">
        <v>18</v>
      </c>
      <c r="M18" s="22">
        <f>IF(OR('Men''s Epée'!$A$3=1,'Men''s Epée'!$U$3=TRUE),IF(OR(L18&gt;=49,ISNUMBER(L18)=FALSE),0,VLOOKUP(L18,PointTable,M$3,TRUE)),0)</f>
        <v>345</v>
      </c>
      <c r="N18" s="23"/>
      <c r="O18" s="23"/>
      <c r="P18" s="23"/>
      <c r="Q18" s="24"/>
      <c r="S18" s="25">
        <f t="shared" si="1"/>
        <v>410</v>
      </c>
      <c r="T18" s="25">
        <f t="shared" si="2"/>
        <v>840</v>
      </c>
      <c r="U18" s="25">
        <f t="shared" si="3"/>
        <v>345</v>
      </c>
      <c r="V18" s="25">
        <f>IF(OR('Men''s Epée'!$A$3=1,N18&gt;0),ABS(N18),0)</f>
        <v>0</v>
      </c>
      <c r="W18" s="25">
        <f>IF(OR('Men''s Epée'!$A$3=1,O18&gt;0),ABS(O18),0)</f>
        <v>0</v>
      </c>
      <c r="X18" s="25">
        <f>IF(OR('Men''s Epée'!$A$3=1,P18&gt;0),ABS(P18),0)</f>
        <v>0</v>
      </c>
      <c r="Y18" s="25">
        <f>IF(OR('Men''s Epée'!$A$3=1,Q18&gt;0),ABS(Q18),0)</f>
        <v>0</v>
      </c>
      <c r="AA18" s="12">
        <f>IF('Men''s Epée'!$S$3=TRUE,I18,0)</f>
        <v>410</v>
      </c>
      <c r="AB18" s="12">
        <f>IF('Men''s Epée'!$T$3=TRUE,K18,0)</f>
        <v>840</v>
      </c>
      <c r="AC18" s="12">
        <f>IF('Men''s Epée'!$U$3=TRUE,M18,0)</f>
        <v>345</v>
      </c>
      <c r="AD18" s="26">
        <f t="shared" si="5"/>
        <v>0</v>
      </c>
      <c r="AE18" s="26">
        <f t="shared" si="5"/>
        <v>0</v>
      </c>
      <c r="AF18" s="26">
        <f t="shared" si="5"/>
        <v>0</v>
      </c>
      <c r="AG18" s="26">
        <f t="shared" si="5"/>
        <v>0</v>
      </c>
      <c r="AH18" s="12">
        <f t="shared" si="6"/>
        <v>1250</v>
      </c>
    </row>
    <row r="19" spans="1:34" ht="13.5">
      <c r="A19" s="16" t="str">
        <f t="shared" si="4"/>
        <v>16</v>
      </c>
      <c r="B19" s="16" t="str">
        <f t="shared" si="0"/>
        <v>#</v>
      </c>
      <c r="C19" s="17" t="s">
        <v>124</v>
      </c>
      <c r="D19" s="18">
        <v>1984</v>
      </c>
      <c r="E19" s="19">
        <f>ROUND(F19+IF('Men''s Epée'!$A$3=1,G19,0)+LARGE($S19:$Y19,1)+LARGE($S19:$Y19,2),0)</f>
        <v>1195</v>
      </c>
      <c r="F19" s="20"/>
      <c r="G19" s="21"/>
      <c r="H19" s="21">
        <v>9</v>
      </c>
      <c r="I19" s="22">
        <f>IF(OR('Men''s Epée'!$A$3=1,'Men''s Epée'!$S$3=TRUE),IF(OR(H19&gt;=49,ISNUMBER(H19)=FALSE),0,VLOOKUP(H19,PointTable,I$3,TRUE)),0)</f>
        <v>620</v>
      </c>
      <c r="J19" s="21">
        <v>12</v>
      </c>
      <c r="K19" s="22">
        <f>IF(OR('Men''s Epée'!$A$3=1,'Men''s Epée'!$T$3=TRUE),IF(OR(J19&gt;=49,ISNUMBER(J19)=FALSE),0,VLOOKUP(J19,PointTable,K$3,TRUE)),0)</f>
        <v>575</v>
      </c>
      <c r="L19" s="21">
        <v>29</v>
      </c>
      <c r="M19" s="22">
        <f>IF(OR('Men''s Epée'!$A$3=1,'Men''s Epée'!$U$3=TRUE),IF(OR(L19&gt;=49,ISNUMBER(L19)=FALSE),0,VLOOKUP(L19,PointTable,M$3,TRUE)),0)</f>
        <v>290</v>
      </c>
      <c r="N19" s="23"/>
      <c r="O19" s="23"/>
      <c r="P19" s="23"/>
      <c r="Q19" s="24"/>
      <c r="S19" s="25">
        <f t="shared" si="1"/>
        <v>620</v>
      </c>
      <c r="T19" s="25">
        <f t="shared" si="2"/>
        <v>575</v>
      </c>
      <c r="U19" s="25">
        <f t="shared" si="3"/>
        <v>290</v>
      </c>
      <c r="V19" s="25">
        <f>IF(OR('Men''s Epée'!$A$3=1,N19&gt;0),ABS(N19),0)</f>
        <v>0</v>
      </c>
      <c r="W19" s="25">
        <f>IF(OR('Men''s Epée'!$A$3=1,O19&gt;0),ABS(O19),0)</f>
        <v>0</v>
      </c>
      <c r="X19" s="25">
        <f>IF(OR('Men''s Epée'!$A$3=1,P19&gt;0),ABS(P19),0)</f>
        <v>0</v>
      </c>
      <c r="Y19" s="25">
        <f>IF(OR('Men''s Epée'!$A$3=1,Q19&gt;0),ABS(Q19),0)</f>
        <v>0</v>
      </c>
      <c r="AA19" s="12">
        <f>IF('Men''s Epée'!$S$3=TRUE,I19,0)</f>
        <v>620</v>
      </c>
      <c r="AB19" s="12">
        <f>IF('Men''s Epée'!$T$3=TRUE,K19,0)</f>
        <v>575</v>
      </c>
      <c r="AC19" s="12">
        <f>IF('Men''s Epée'!$U$3=TRUE,M19,0)</f>
        <v>290</v>
      </c>
      <c r="AD19" s="26">
        <f t="shared" si="5"/>
        <v>0</v>
      </c>
      <c r="AE19" s="26">
        <f t="shared" si="5"/>
        <v>0</v>
      </c>
      <c r="AF19" s="26">
        <f t="shared" si="5"/>
        <v>0</v>
      </c>
      <c r="AG19" s="26">
        <f t="shared" si="5"/>
        <v>0</v>
      </c>
      <c r="AH19" s="12">
        <f t="shared" si="6"/>
        <v>1195</v>
      </c>
    </row>
    <row r="20" spans="1:34" ht="13.5">
      <c r="A20" s="16" t="str">
        <f t="shared" si="4"/>
        <v>17</v>
      </c>
      <c r="B20" s="16">
        <f t="shared" si="0"/>
      </c>
      <c r="C20" s="17" t="s">
        <v>42</v>
      </c>
      <c r="D20" s="18">
        <v>1982</v>
      </c>
      <c r="E20" s="19">
        <f>ROUND(F20+IF('Men''s Epée'!$A$3=1,G20,0)+LARGE($S20:$Y20,1)+LARGE($S20:$Y20,2),0)</f>
        <v>1165</v>
      </c>
      <c r="F20" s="20"/>
      <c r="G20" s="21"/>
      <c r="H20" s="21">
        <v>12</v>
      </c>
      <c r="I20" s="22">
        <f>IF(OR('Men''s Epée'!$A$3=1,'Men''s Epée'!$S$3=TRUE),IF(OR(H20&gt;=49,ISNUMBER(H20)=FALSE),0,VLOOKUP(H20,PointTable,I$3,TRUE)),0)</f>
        <v>575</v>
      </c>
      <c r="J20" s="21">
        <v>11</v>
      </c>
      <c r="K20" s="22">
        <f>IF(OR('Men''s Epée'!$A$3=1,'Men''s Epée'!$T$3=TRUE),IF(OR(J20&gt;=49,ISNUMBER(J20)=FALSE),0,VLOOKUP(J20,PointTable,K$3,TRUE)),0)</f>
        <v>590</v>
      </c>
      <c r="L20" s="21">
        <v>19</v>
      </c>
      <c r="M20" s="22">
        <f>IF(OR('Men''s Epée'!$A$3=1,'Men''s Epée'!$U$3=TRUE),IF(OR(L20&gt;=49,ISNUMBER(L20)=FALSE),0,VLOOKUP(L20,PointTable,M$3,TRUE)),0)</f>
        <v>340</v>
      </c>
      <c r="N20" s="23"/>
      <c r="O20" s="23"/>
      <c r="P20" s="23"/>
      <c r="Q20" s="24"/>
      <c r="S20" s="25">
        <f t="shared" si="1"/>
        <v>575</v>
      </c>
      <c r="T20" s="25">
        <f t="shared" si="2"/>
        <v>590</v>
      </c>
      <c r="U20" s="25">
        <f t="shared" si="3"/>
        <v>340</v>
      </c>
      <c r="V20" s="25">
        <f>IF(OR('Men''s Epée'!$A$3=1,N20&gt;0),ABS(N20),0)</f>
        <v>0</v>
      </c>
      <c r="W20" s="25">
        <f>IF(OR('Men''s Epée'!$A$3=1,O20&gt;0),ABS(O20),0)</f>
        <v>0</v>
      </c>
      <c r="X20" s="25">
        <f>IF(OR('Men''s Epée'!$A$3=1,P20&gt;0),ABS(P20),0)</f>
        <v>0</v>
      </c>
      <c r="Y20" s="25">
        <f>IF(OR('Men''s Epée'!$A$3=1,Q20&gt;0),ABS(Q20),0)</f>
        <v>0</v>
      </c>
      <c r="AA20" s="12">
        <f>IF('Men''s Epée'!$S$3=TRUE,I20,0)</f>
        <v>575</v>
      </c>
      <c r="AB20" s="12">
        <f>IF('Men''s Epée'!$T$3=TRUE,K20,0)</f>
        <v>590</v>
      </c>
      <c r="AC20" s="12">
        <f>IF('Men''s Epée'!$U$3=TRUE,M20,0)</f>
        <v>340</v>
      </c>
      <c r="AD20" s="26">
        <f t="shared" si="5"/>
        <v>0</v>
      </c>
      <c r="AE20" s="26">
        <f t="shared" si="5"/>
        <v>0</v>
      </c>
      <c r="AF20" s="26">
        <f t="shared" si="5"/>
        <v>0</v>
      </c>
      <c r="AG20" s="26">
        <f t="shared" si="5"/>
        <v>0</v>
      </c>
      <c r="AH20" s="12">
        <f t="shared" si="6"/>
        <v>1165</v>
      </c>
    </row>
    <row r="21" spans="1:34" ht="13.5">
      <c r="A21" s="16" t="str">
        <f t="shared" si="4"/>
        <v>18</v>
      </c>
      <c r="B21" s="16" t="str">
        <f t="shared" si="0"/>
        <v>#</v>
      </c>
      <c r="C21" s="17" t="s">
        <v>111</v>
      </c>
      <c r="D21" s="18">
        <v>1985</v>
      </c>
      <c r="E21" s="19">
        <f>ROUND(F21+IF('Men''s Epée'!$A$3=1,G21,0)+LARGE($S21:$Y21,1)+LARGE($S21:$Y21,2),0)</f>
        <v>1115</v>
      </c>
      <c r="F21" s="20"/>
      <c r="G21" s="21"/>
      <c r="H21" s="21">
        <v>11</v>
      </c>
      <c r="I21" s="22">
        <f>IF(OR('Men''s Epée'!$A$3=1,'Men''s Epée'!$S$3=TRUE),IF(OR(H21&gt;=49,ISNUMBER(H21)=FALSE),0,VLOOKUP(H21,PointTable,I$3,TRUE)),0)</f>
        <v>590</v>
      </c>
      <c r="J21" s="21">
        <v>13</v>
      </c>
      <c r="K21" s="22">
        <f>IF(OR('Men''s Epée'!$A$3=1,'Men''s Epée'!$T$3=TRUE),IF(OR(J21&gt;=49,ISNUMBER(J21)=FALSE),0,VLOOKUP(J21,PointTable,K$3,TRUE)),0)</f>
        <v>525</v>
      </c>
      <c r="L21" s="21">
        <v>15</v>
      </c>
      <c r="M21" s="22">
        <f>IF(OR('Men''s Epée'!$A$3=1,'Men''s Epée'!$U$3=TRUE),IF(OR(L21&gt;=49,ISNUMBER(L21)=FALSE),0,VLOOKUP(L21,PointTable,M$3,TRUE)),0)</f>
        <v>505</v>
      </c>
      <c r="N21" s="23"/>
      <c r="O21" s="23"/>
      <c r="P21" s="23"/>
      <c r="Q21" s="24"/>
      <c r="S21" s="25">
        <f t="shared" si="1"/>
        <v>590</v>
      </c>
      <c r="T21" s="25">
        <f t="shared" si="2"/>
        <v>525</v>
      </c>
      <c r="U21" s="25">
        <f t="shared" si="3"/>
        <v>505</v>
      </c>
      <c r="V21" s="25">
        <f>IF(OR('Men''s Epée'!$A$3=1,N21&gt;0),ABS(N21),0)</f>
        <v>0</v>
      </c>
      <c r="W21" s="25">
        <f>IF(OR('Men''s Epée'!$A$3=1,O21&gt;0),ABS(O21),0)</f>
        <v>0</v>
      </c>
      <c r="X21" s="25">
        <f>IF(OR('Men''s Epée'!$A$3=1,P21&gt;0),ABS(P21),0)</f>
        <v>0</v>
      </c>
      <c r="Y21" s="25">
        <f>IF(OR('Men''s Epée'!$A$3=1,Q21&gt;0),ABS(Q21),0)</f>
        <v>0</v>
      </c>
      <c r="AA21" s="12">
        <f>IF('Men''s Epée'!$S$3=TRUE,I21,0)</f>
        <v>590</v>
      </c>
      <c r="AB21" s="12">
        <f>IF('Men''s Epée'!$T$3=TRUE,K21,0)</f>
        <v>525</v>
      </c>
      <c r="AC21" s="12">
        <f>IF('Men''s Epée'!$U$3=TRUE,M21,0)</f>
        <v>505</v>
      </c>
      <c r="AD21" s="26">
        <f t="shared" si="5"/>
        <v>0</v>
      </c>
      <c r="AE21" s="26">
        <f t="shared" si="5"/>
        <v>0</v>
      </c>
      <c r="AF21" s="26">
        <f t="shared" si="5"/>
        <v>0</v>
      </c>
      <c r="AG21" s="26">
        <f t="shared" si="5"/>
        <v>0</v>
      </c>
      <c r="AH21" s="12">
        <f t="shared" si="6"/>
        <v>1115</v>
      </c>
    </row>
    <row r="22" spans="1:34" ht="13.5">
      <c r="A22" s="16" t="str">
        <f t="shared" si="4"/>
        <v>19</v>
      </c>
      <c r="B22" s="16" t="str">
        <f t="shared" si="0"/>
        <v>#</v>
      </c>
      <c r="C22" s="17" t="s">
        <v>177</v>
      </c>
      <c r="D22" s="18">
        <v>1985</v>
      </c>
      <c r="E22" s="19">
        <f>ROUND(F22+IF('Men''s Epée'!$A$3=1,G22,0)+LARGE($S22:$Y22,1)+LARGE($S22:$Y22,2),0)</f>
        <v>1045</v>
      </c>
      <c r="F22" s="20"/>
      <c r="G22" s="21"/>
      <c r="H22" s="21">
        <v>8</v>
      </c>
      <c r="I22" s="22">
        <f>IF(OR('Men''s Epée'!$A$3=1,'Men''s Epée'!$S$3=TRUE),IF(OR(H22&gt;=49,ISNUMBER(H22)=FALSE),0,VLOOKUP(H22,PointTable,I$3,TRUE)),0)</f>
        <v>695</v>
      </c>
      <c r="J22" s="21">
        <v>42</v>
      </c>
      <c r="K22" s="22">
        <f>IF(OR('Men''s Epée'!$A$3=1,'Men''s Epée'!$T$3=TRUE),IF(OR(J22&gt;=49,ISNUMBER(J22)=FALSE),0,VLOOKUP(J22,PointTable,K$3,TRUE)),0)</f>
        <v>230</v>
      </c>
      <c r="L22" s="21">
        <v>17</v>
      </c>
      <c r="M22" s="22">
        <f>IF(OR('Men''s Epée'!$A$3=1,'Men''s Epée'!$U$3=TRUE),IF(OR(L22&gt;=49,ISNUMBER(L22)=FALSE),0,VLOOKUP(L22,PointTable,M$3,TRUE)),0)</f>
        <v>350</v>
      </c>
      <c r="N22" s="23"/>
      <c r="O22" s="23"/>
      <c r="P22" s="23"/>
      <c r="Q22" s="24"/>
      <c r="S22" s="25">
        <f t="shared" si="1"/>
        <v>695</v>
      </c>
      <c r="T22" s="25">
        <f t="shared" si="2"/>
        <v>230</v>
      </c>
      <c r="U22" s="25">
        <f t="shared" si="3"/>
        <v>350</v>
      </c>
      <c r="V22" s="25">
        <f>IF(OR('Men''s Epée'!$A$3=1,N22&gt;0),ABS(N22),0)</f>
        <v>0</v>
      </c>
      <c r="W22" s="25">
        <f>IF(OR('Men''s Epée'!$A$3=1,O22&gt;0),ABS(O22),0)</f>
        <v>0</v>
      </c>
      <c r="X22" s="25">
        <f>IF(OR('Men''s Epée'!$A$3=1,P22&gt;0),ABS(P22),0)</f>
        <v>0</v>
      </c>
      <c r="Y22" s="25">
        <f>IF(OR('Men''s Epée'!$A$3=1,Q22&gt;0),ABS(Q22),0)</f>
        <v>0</v>
      </c>
      <c r="AA22" s="12">
        <f>IF('Men''s Epée'!$S$3=TRUE,I22,0)</f>
        <v>695</v>
      </c>
      <c r="AB22" s="12">
        <f>IF('Men''s Epée'!$T$3=TRUE,K22,0)</f>
        <v>230</v>
      </c>
      <c r="AC22" s="12">
        <f>IF('Men''s Epée'!$U$3=TRUE,M22,0)</f>
        <v>350</v>
      </c>
      <c r="AD22" s="26">
        <f t="shared" si="5"/>
        <v>0</v>
      </c>
      <c r="AE22" s="26">
        <f t="shared" si="5"/>
        <v>0</v>
      </c>
      <c r="AF22" s="26">
        <f t="shared" si="5"/>
        <v>0</v>
      </c>
      <c r="AG22" s="26">
        <f t="shared" si="5"/>
        <v>0</v>
      </c>
      <c r="AH22" s="12">
        <f t="shared" si="6"/>
        <v>1045</v>
      </c>
    </row>
    <row r="23" spans="1:34" ht="13.5">
      <c r="A23" s="16" t="str">
        <f t="shared" si="4"/>
        <v>20</v>
      </c>
      <c r="B23" s="16">
        <f t="shared" si="0"/>
      </c>
      <c r="C23" s="17" t="s">
        <v>46</v>
      </c>
      <c r="D23" s="18">
        <v>1980</v>
      </c>
      <c r="E23" s="19">
        <f>ROUND(F23+IF('Men''s Epée'!$A$3=1,G23,0)+LARGE($S23:$Y23,1)+LARGE($S23:$Y23,2),0)</f>
        <v>990</v>
      </c>
      <c r="F23" s="20"/>
      <c r="G23" s="21"/>
      <c r="H23" s="21">
        <v>23</v>
      </c>
      <c r="I23" s="22">
        <f>IF(OR('Men''s Epée'!$A$3=1,'Men''s Epée'!$S$3=TRUE),IF(OR(H23&gt;=49,ISNUMBER(H23)=FALSE),0,VLOOKUP(H23,PointTable,I$3,TRUE)),0)</f>
        <v>385</v>
      </c>
      <c r="J23" s="21">
        <v>10</v>
      </c>
      <c r="K23" s="22">
        <f>IF(OR('Men''s Epée'!$A$3=1,'Men''s Epée'!$T$3=TRUE),IF(OR(J23&gt;=49,ISNUMBER(J23)=FALSE),0,VLOOKUP(J23,PointTable,K$3,TRUE)),0)</f>
        <v>605</v>
      </c>
      <c r="L23" s="21">
        <v>26</v>
      </c>
      <c r="M23" s="22">
        <f>IF(OR('Men''s Epée'!$A$3=1,'Men''s Epée'!$U$3=TRUE),IF(OR(L23&gt;=49,ISNUMBER(L23)=FALSE),0,VLOOKUP(L23,PointTable,M$3,TRUE)),0)</f>
        <v>305</v>
      </c>
      <c r="N23" s="23"/>
      <c r="O23" s="23"/>
      <c r="P23" s="23"/>
      <c r="Q23" s="24"/>
      <c r="S23" s="25">
        <f t="shared" si="1"/>
        <v>385</v>
      </c>
      <c r="T23" s="25">
        <f t="shared" si="2"/>
        <v>605</v>
      </c>
      <c r="U23" s="25">
        <f t="shared" si="3"/>
        <v>305</v>
      </c>
      <c r="V23" s="25">
        <f>IF(OR('Men''s Epée'!$A$3=1,N23&gt;0),ABS(N23),0)</f>
        <v>0</v>
      </c>
      <c r="W23" s="25">
        <f>IF(OR('Men''s Epée'!$A$3=1,O23&gt;0),ABS(O23),0)</f>
        <v>0</v>
      </c>
      <c r="X23" s="25">
        <f>IF(OR('Men''s Epée'!$A$3=1,P23&gt;0),ABS(P23),0)</f>
        <v>0</v>
      </c>
      <c r="Y23" s="25">
        <f>IF(OR('Men''s Epée'!$A$3=1,Q23&gt;0),ABS(Q23),0)</f>
        <v>0</v>
      </c>
      <c r="AA23" s="12">
        <f>IF('Men''s Epée'!$S$3=TRUE,I23,0)</f>
        <v>385</v>
      </c>
      <c r="AB23" s="12">
        <f>IF('Men''s Epée'!$T$3=TRUE,K23,0)</f>
        <v>605</v>
      </c>
      <c r="AC23" s="12">
        <f>IF('Men''s Epée'!$U$3=TRUE,M23,0)</f>
        <v>305</v>
      </c>
      <c r="AD23" s="26">
        <f t="shared" si="5"/>
        <v>0</v>
      </c>
      <c r="AE23" s="26">
        <f t="shared" si="5"/>
        <v>0</v>
      </c>
      <c r="AF23" s="26">
        <f t="shared" si="5"/>
        <v>0</v>
      </c>
      <c r="AG23" s="26">
        <f t="shared" si="5"/>
        <v>0</v>
      </c>
      <c r="AH23" s="12">
        <f t="shared" si="6"/>
        <v>990</v>
      </c>
    </row>
    <row r="24" spans="1:34" ht="13.5">
      <c r="A24" s="16" t="str">
        <f t="shared" si="4"/>
        <v>21</v>
      </c>
      <c r="B24" s="16">
        <f t="shared" si="0"/>
      </c>
      <c r="C24" s="17" t="s">
        <v>264</v>
      </c>
      <c r="D24" s="18">
        <v>1981</v>
      </c>
      <c r="E24" s="19">
        <f>ROUND(F24+IF('Men''s Epée'!$A$3=1,G24,0)+LARGE($S24:$Y24,1)+LARGE($S24:$Y24,2),0)</f>
        <v>916</v>
      </c>
      <c r="F24" s="20">
        <v>128</v>
      </c>
      <c r="G24" s="21"/>
      <c r="H24" s="21">
        <v>29.5</v>
      </c>
      <c r="I24" s="22">
        <f>IF(OR('Men''s Epée'!$A$3=1,'Men''s Epée'!$S$3=TRUE),IF(OR(H24&gt;=49,ISNUMBER(H24)=FALSE),0,VLOOKUP(H24,PointTable,I$3,TRUE)),0)</f>
        <v>292.5</v>
      </c>
      <c r="J24" s="21">
        <v>15</v>
      </c>
      <c r="K24" s="22">
        <f>IF(OR('Men''s Epée'!$A$3=1,'Men''s Epée'!$T$3=TRUE),IF(OR(J24&gt;=49,ISNUMBER(J24)=FALSE),0,VLOOKUP(J24,PointTable,K$3,TRUE)),0)</f>
        <v>495</v>
      </c>
      <c r="L24" s="21">
        <v>31</v>
      </c>
      <c r="M24" s="22">
        <f>IF(OR('Men''s Epée'!$A$3=1,'Men''s Epée'!$U$3=TRUE),IF(OR(L24&gt;=49,ISNUMBER(L24)=FALSE),0,VLOOKUP(L24,PointTable,M$3,TRUE)),0)</f>
        <v>280</v>
      </c>
      <c r="N24" s="23"/>
      <c r="O24" s="23"/>
      <c r="P24" s="23"/>
      <c r="Q24" s="24"/>
      <c r="S24" s="25">
        <f t="shared" si="1"/>
        <v>292.5</v>
      </c>
      <c r="T24" s="25">
        <f t="shared" si="2"/>
        <v>495</v>
      </c>
      <c r="U24" s="25">
        <f t="shared" si="3"/>
        <v>280</v>
      </c>
      <c r="V24" s="25">
        <f>IF(OR('Men''s Epée'!$A$3=1,N24&gt;0),ABS(N24),0)</f>
        <v>0</v>
      </c>
      <c r="W24" s="25">
        <f>IF(OR('Men''s Epée'!$A$3=1,O24&gt;0),ABS(O24),0)</f>
        <v>0</v>
      </c>
      <c r="X24" s="25">
        <f>IF(OR('Men''s Epée'!$A$3=1,P24&gt;0),ABS(P24),0)</f>
        <v>0</v>
      </c>
      <c r="Y24" s="25">
        <f>IF(OR('Men''s Epée'!$A$3=1,Q24&gt;0),ABS(Q24),0)</f>
        <v>0</v>
      </c>
      <c r="AA24" s="12">
        <f>IF('Men''s Epée'!$S$3=TRUE,I24,0)</f>
        <v>292.5</v>
      </c>
      <c r="AB24" s="12">
        <f>IF('Men''s Epée'!$T$3=TRUE,K24,0)</f>
        <v>495</v>
      </c>
      <c r="AC24" s="12">
        <f>IF('Men''s Epée'!$U$3=TRUE,M24,0)</f>
        <v>280</v>
      </c>
      <c r="AD24" s="26">
        <f t="shared" si="5"/>
        <v>0</v>
      </c>
      <c r="AE24" s="26">
        <f t="shared" si="5"/>
        <v>0</v>
      </c>
      <c r="AF24" s="26">
        <f t="shared" si="5"/>
        <v>0</v>
      </c>
      <c r="AG24" s="26">
        <f t="shared" si="5"/>
        <v>0</v>
      </c>
      <c r="AH24" s="12">
        <f t="shared" si="6"/>
        <v>916</v>
      </c>
    </row>
    <row r="25" spans="1:34" ht="13.5">
      <c r="A25" s="16" t="str">
        <f t="shared" si="4"/>
        <v>22</v>
      </c>
      <c r="B25" s="16" t="str">
        <f t="shared" si="0"/>
        <v>#</v>
      </c>
      <c r="C25" s="17" t="s">
        <v>209</v>
      </c>
      <c r="D25" s="18">
        <v>1985</v>
      </c>
      <c r="E25" s="19">
        <f>ROUND(F25+IF('Men''s Epée'!$A$3=1,G25,0)+LARGE($S25:$Y25,1)+LARGE($S25:$Y25,2),0)</f>
        <v>820</v>
      </c>
      <c r="F25" s="20"/>
      <c r="G25" s="21"/>
      <c r="H25" s="21">
        <v>48</v>
      </c>
      <c r="I25" s="22">
        <f>IF(OR('Men''s Epée'!$A$3=1,'Men''s Epée'!$S$3=TRUE),IF(OR(H25&gt;=49,ISNUMBER(H25)=FALSE),0,VLOOKUP(H25,PointTable,I$3,TRUE)),0)</f>
        <v>200</v>
      </c>
      <c r="J25" s="21">
        <v>14</v>
      </c>
      <c r="K25" s="22">
        <f>IF(OR('Men''s Epée'!$A$3=1,'Men''s Epée'!$T$3=TRUE),IF(OR(J25&gt;=49,ISNUMBER(J25)=FALSE),0,VLOOKUP(J25,PointTable,K$3,TRUE)),0)</f>
        <v>510</v>
      </c>
      <c r="L25" s="21">
        <v>25</v>
      </c>
      <c r="M25" s="22">
        <f>IF(OR('Men''s Epée'!$A$3=1,'Men''s Epée'!$U$3=TRUE),IF(OR(L25&gt;=49,ISNUMBER(L25)=FALSE),0,VLOOKUP(L25,PointTable,M$3,TRUE)),0)</f>
        <v>310</v>
      </c>
      <c r="N25" s="23"/>
      <c r="O25" s="23"/>
      <c r="P25" s="23"/>
      <c r="Q25" s="24"/>
      <c r="S25" s="25">
        <f t="shared" si="1"/>
        <v>200</v>
      </c>
      <c r="T25" s="25">
        <f t="shared" si="2"/>
        <v>510</v>
      </c>
      <c r="U25" s="25">
        <f t="shared" si="3"/>
        <v>310</v>
      </c>
      <c r="V25" s="25">
        <f>IF(OR('Men''s Epée'!$A$3=1,N25&gt;0),ABS(N25),0)</f>
        <v>0</v>
      </c>
      <c r="W25" s="25">
        <f>IF(OR('Men''s Epée'!$A$3=1,O25&gt;0),ABS(O25),0)</f>
        <v>0</v>
      </c>
      <c r="X25" s="25">
        <f>IF(OR('Men''s Epée'!$A$3=1,P25&gt;0),ABS(P25),0)</f>
        <v>0</v>
      </c>
      <c r="Y25" s="25">
        <f>IF(OR('Men''s Epée'!$A$3=1,Q25&gt;0),ABS(Q25),0)</f>
        <v>0</v>
      </c>
      <c r="AA25" s="12">
        <f>IF('Men''s Epée'!$S$3=TRUE,I25,0)</f>
        <v>200</v>
      </c>
      <c r="AB25" s="12">
        <f>IF('Men''s Epée'!$T$3=TRUE,K25,0)</f>
        <v>510</v>
      </c>
      <c r="AC25" s="12">
        <f>IF('Men''s Epée'!$U$3=TRUE,M25,0)</f>
        <v>310</v>
      </c>
      <c r="AD25" s="26">
        <f t="shared" si="5"/>
        <v>0</v>
      </c>
      <c r="AE25" s="26">
        <f t="shared" si="5"/>
        <v>0</v>
      </c>
      <c r="AF25" s="26">
        <f t="shared" si="5"/>
        <v>0</v>
      </c>
      <c r="AG25" s="26">
        <f t="shared" si="5"/>
        <v>0</v>
      </c>
      <c r="AH25" s="12">
        <f t="shared" si="6"/>
        <v>820</v>
      </c>
    </row>
    <row r="26" spans="1:34" ht="13.5">
      <c r="A26" s="16" t="str">
        <f t="shared" si="4"/>
        <v>23</v>
      </c>
      <c r="B26" s="16">
        <f t="shared" si="0"/>
      </c>
      <c r="C26" s="17" t="s">
        <v>40</v>
      </c>
      <c r="D26" s="18">
        <v>1972</v>
      </c>
      <c r="E26" s="19">
        <f>ROUND(F26+IF('Men''s Epée'!$A$3=1,G26,0)+LARGE($S26:$Y26,1)+LARGE($S26:$Y26,2),0)</f>
        <v>808</v>
      </c>
      <c r="F26" s="20"/>
      <c r="G26" s="21"/>
      <c r="H26" s="21">
        <v>40</v>
      </c>
      <c r="I26" s="22">
        <f>IF(OR('Men''s Epée'!$A$3=1,'Men''s Epée'!$S$3=TRUE),IF(OR(H26&gt;=49,ISNUMBER(H26)=FALSE),0,VLOOKUP(H26,PointTable,I$3,TRUE)),0)</f>
        <v>240</v>
      </c>
      <c r="J26" s="21">
        <v>33</v>
      </c>
      <c r="K26" s="22">
        <f>IF(OR('Men''s Epée'!$A$3=1,'Men''s Epée'!$T$3=TRUE),IF(OR(J26&gt;=49,ISNUMBER(J26)=FALSE),0,VLOOKUP(J26,PointTable,K$3,TRUE)),0)</f>
        <v>275</v>
      </c>
      <c r="L26" s="21">
        <v>9.5</v>
      </c>
      <c r="M26" s="22">
        <f>IF(OR('Men''s Epée'!$A$3=1,'Men''s Epée'!$U$3=TRUE),IF(OR(L26&gt;=49,ISNUMBER(L26)=FALSE),0,VLOOKUP(L26,PointTable,M$3,TRUE)),0)</f>
        <v>532.5</v>
      </c>
      <c r="N26" s="23"/>
      <c r="O26" s="23"/>
      <c r="P26" s="23"/>
      <c r="Q26" s="24"/>
      <c r="S26" s="25">
        <f t="shared" si="1"/>
        <v>240</v>
      </c>
      <c r="T26" s="25">
        <f t="shared" si="2"/>
        <v>275</v>
      </c>
      <c r="U26" s="25">
        <f t="shared" si="3"/>
        <v>532.5</v>
      </c>
      <c r="V26" s="25">
        <f>IF(OR('Men''s Epée'!$A$3=1,N26&gt;0),ABS(N26),0)</f>
        <v>0</v>
      </c>
      <c r="W26" s="25">
        <f>IF(OR('Men''s Epée'!$A$3=1,O26&gt;0),ABS(O26),0)</f>
        <v>0</v>
      </c>
      <c r="X26" s="25">
        <f>IF(OR('Men''s Epée'!$A$3=1,P26&gt;0),ABS(P26),0)</f>
        <v>0</v>
      </c>
      <c r="Y26" s="25">
        <f>IF(OR('Men''s Epée'!$A$3=1,Q26&gt;0),ABS(Q26),0)</f>
        <v>0</v>
      </c>
      <c r="AA26" s="12">
        <f>IF('Men''s Epée'!$S$3=TRUE,I26,0)</f>
        <v>240</v>
      </c>
      <c r="AB26" s="12">
        <f>IF('Men''s Epée'!$T$3=TRUE,K26,0)</f>
        <v>275</v>
      </c>
      <c r="AC26" s="12">
        <f>IF('Men''s Epée'!$U$3=TRUE,M26,0)</f>
        <v>532.5</v>
      </c>
      <c r="AD26" s="26">
        <f t="shared" si="5"/>
        <v>0</v>
      </c>
      <c r="AE26" s="26">
        <f t="shared" si="5"/>
        <v>0</v>
      </c>
      <c r="AF26" s="26">
        <f t="shared" si="5"/>
        <v>0</v>
      </c>
      <c r="AG26" s="26">
        <f t="shared" si="5"/>
        <v>0</v>
      </c>
      <c r="AH26" s="12">
        <f t="shared" si="6"/>
        <v>808</v>
      </c>
    </row>
    <row r="27" spans="1:34" ht="13.5">
      <c r="A27" s="16" t="str">
        <f t="shared" si="4"/>
        <v>24</v>
      </c>
      <c r="B27" s="16" t="str">
        <f t="shared" si="0"/>
        <v>#</v>
      </c>
      <c r="C27" s="17" t="s">
        <v>206</v>
      </c>
      <c r="D27" s="18">
        <v>1985</v>
      </c>
      <c r="E27" s="19">
        <f>ROUND(F27+IF('Men''s Epée'!$A$3=1,G27,0)+LARGE($S27:$Y27,1)+LARGE($S27:$Y27,2),0)</f>
        <v>780</v>
      </c>
      <c r="F27" s="20"/>
      <c r="G27" s="21"/>
      <c r="H27" s="21" t="s">
        <v>5</v>
      </c>
      <c r="I27" s="22">
        <f>IF(OR('Men''s Epée'!$A$3=1,'Men''s Epée'!$S$3=TRUE),IF(OR(H27&gt;=49,ISNUMBER(H27)=FALSE),0,VLOOKUP(H27,PointTable,I$3,TRUE)),0)</f>
        <v>0</v>
      </c>
      <c r="J27" s="21">
        <v>32</v>
      </c>
      <c r="K27" s="22">
        <f>IF(OR('Men''s Epée'!$A$3=1,'Men''s Epée'!$T$3=TRUE),IF(OR(J27&gt;=49,ISNUMBER(J27)=FALSE),0,VLOOKUP(J27,PointTable,K$3,TRUE)),0)</f>
        <v>280</v>
      </c>
      <c r="L27" s="21">
        <v>16</v>
      </c>
      <c r="M27" s="22">
        <f>IF(OR('Men''s Epée'!$A$3=1,'Men''s Epée'!$U$3=TRUE),IF(OR(L27&gt;=49,ISNUMBER(L27)=FALSE),0,VLOOKUP(L27,PointTable,M$3,TRUE)),0)</f>
        <v>500</v>
      </c>
      <c r="N27" s="23"/>
      <c r="O27" s="23"/>
      <c r="P27" s="23"/>
      <c r="Q27" s="24"/>
      <c r="S27" s="25">
        <f aca="true" t="shared" si="7" ref="S27:S35">I27</f>
        <v>0</v>
      </c>
      <c r="T27" s="25">
        <f aca="true" t="shared" si="8" ref="T27:T35">K27</f>
        <v>280</v>
      </c>
      <c r="U27" s="25">
        <f aca="true" t="shared" si="9" ref="U27:U35">M27</f>
        <v>500</v>
      </c>
      <c r="V27" s="25">
        <f>IF(OR('Men''s Epée'!$A$3=1,N27&gt;0),ABS(N27),0)</f>
        <v>0</v>
      </c>
      <c r="W27" s="25">
        <f>IF(OR('Men''s Epée'!$A$3=1,O27&gt;0),ABS(O27),0)</f>
        <v>0</v>
      </c>
      <c r="X27" s="25">
        <f>IF(OR('Men''s Epée'!$A$3=1,P27&gt;0),ABS(P27),0)</f>
        <v>0</v>
      </c>
      <c r="Y27" s="25">
        <f>IF(OR('Men''s Epée'!$A$3=1,Q27&gt;0),ABS(Q27),0)</f>
        <v>0</v>
      </c>
      <c r="AA27" s="12">
        <f>IF('Men''s Epée'!$S$3=TRUE,I27,0)</f>
        <v>0</v>
      </c>
      <c r="AB27" s="12">
        <f>IF('Men''s Epée'!$T$3=TRUE,K27,0)</f>
        <v>280</v>
      </c>
      <c r="AC27" s="12">
        <f>IF('Men''s Epée'!$U$3=TRUE,M27,0)</f>
        <v>500</v>
      </c>
      <c r="AD27" s="26">
        <f aca="true" t="shared" si="10" ref="AD27:AD35">MAX(N27,0)</f>
        <v>0</v>
      </c>
      <c r="AE27" s="26">
        <f aca="true" t="shared" si="11" ref="AE27:AE35">MAX(O27,0)</f>
        <v>0</v>
      </c>
      <c r="AF27" s="26">
        <f aca="true" t="shared" si="12" ref="AF27:AF35">MAX(P27,0)</f>
        <v>0</v>
      </c>
      <c r="AG27" s="26">
        <f aca="true" t="shared" si="13" ref="AG27:AG35">MAX(Q27,0)</f>
        <v>0</v>
      </c>
      <c r="AH27" s="12">
        <f t="shared" si="6"/>
        <v>780</v>
      </c>
    </row>
    <row r="28" spans="1:34" ht="13.5">
      <c r="A28" s="16" t="str">
        <f t="shared" si="4"/>
        <v>25</v>
      </c>
      <c r="B28" s="16" t="str">
        <f t="shared" si="0"/>
        <v>#</v>
      </c>
      <c r="C28" s="17" t="s">
        <v>152</v>
      </c>
      <c r="D28" s="18">
        <v>1985</v>
      </c>
      <c r="E28" s="19">
        <f>ROUND(F28+IF('Men''s Epée'!$A$3=1,G28,0)+LARGE($S28:$Y28,1)+LARGE($S28:$Y28,2),0)</f>
        <v>740</v>
      </c>
      <c r="F28" s="20"/>
      <c r="G28" s="21"/>
      <c r="H28" s="21">
        <v>13</v>
      </c>
      <c r="I28" s="22">
        <f>IF(OR('Men''s Epée'!$A$3=1,'Men''s Epée'!$S$3=TRUE),IF(OR(H28&gt;=49,ISNUMBER(H28)=FALSE),0,VLOOKUP(H28,PointTable,I$3,TRUE)),0)</f>
        <v>525</v>
      </c>
      <c r="J28" s="21">
        <v>45</v>
      </c>
      <c r="K28" s="22">
        <f>IF(OR('Men''s Epée'!$A$3=1,'Men''s Epée'!$T$3=TRUE),IF(OR(J28&gt;=49,ISNUMBER(J28)=FALSE),0,VLOOKUP(J28,PointTable,K$3,TRUE)),0)</f>
        <v>215</v>
      </c>
      <c r="L28" s="21" t="s">
        <v>5</v>
      </c>
      <c r="M28" s="22">
        <f>IF(OR('Men''s Epée'!$A$3=1,'Men''s Epée'!$U$3=TRUE),IF(OR(L28&gt;=49,ISNUMBER(L28)=FALSE),0,VLOOKUP(L28,PointTable,M$3,TRUE)),0)</f>
        <v>0</v>
      </c>
      <c r="N28" s="23"/>
      <c r="O28" s="23"/>
      <c r="P28" s="23"/>
      <c r="Q28" s="24"/>
      <c r="S28" s="25">
        <f t="shared" si="7"/>
        <v>525</v>
      </c>
      <c r="T28" s="25">
        <f t="shared" si="8"/>
        <v>215</v>
      </c>
      <c r="U28" s="25">
        <f t="shared" si="9"/>
        <v>0</v>
      </c>
      <c r="V28" s="25">
        <f>IF(OR('Men''s Epée'!$A$3=1,N28&gt;0),ABS(N28),0)</f>
        <v>0</v>
      </c>
      <c r="W28" s="25">
        <f>IF(OR('Men''s Epée'!$A$3=1,O28&gt;0),ABS(O28),0)</f>
        <v>0</v>
      </c>
      <c r="X28" s="25">
        <f>IF(OR('Men''s Epée'!$A$3=1,P28&gt;0),ABS(P28),0)</f>
        <v>0</v>
      </c>
      <c r="Y28" s="25">
        <f>IF(OR('Men''s Epée'!$A$3=1,Q28&gt;0),ABS(Q28),0)</f>
        <v>0</v>
      </c>
      <c r="AA28" s="12">
        <f>IF('Men''s Epée'!$S$3=TRUE,I28,0)</f>
        <v>525</v>
      </c>
      <c r="AB28" s="12">
        <f>IF('Men''s Epée'!$T$3=TRUE,K28,0)</f>
        <v>215</v>
      </c>
      <c r="AC28" s="12">
        <f>IF('Men''s Epée'!$U$3=TRUE,M28,0)</f>
        <v>0</v>
      </c>
      <c r="AD28" s="26">
        <f t="shared" si="10"/>
        <v>0</v>
      </c>
      <c r="AE28" s="26">
        <f t="shared" si="11"/>
        <v>0</v>
      </c>
      <c r="AF28" s="26">
        <f t="shared" si="12"/>
        <v>0</v>
      </c>
      <c r="AG28" s="26">
        <f t="shared" si="13"/>
        <v>0</v>
      </c>
      <c r="AH28" s="12">
        <f t="shared" si="6"/>
        <v>740</v>
      </c>
    </row>
    <row r="29" spans="1:34" ht="13.5">
      <c r="A29" s="16" t="str">
        <f t="shared" si="4"/>
        <v>26</v>
      </c>
      <c r="B29" s="16">
        <f t="shared" si="0"/>
      </c>
      <c r="C29" s="17" t="s">
        <v>104</v>
      </c>
      <c r="D29" s="18">
        <v>1978</v>
      </c>
      <c r="E29" s="19">
        <f>ROUND(F29+IF('Men''s Epée'!$A$3=1,G29,0)+LARGE($S29:$Y29,1)+LARGE($S29:$Y29,2),0)</f>
        <v>735</v>
      </c>
      <c r="F29" s="20"/>
      <c r="G29" s="21"/>
      <c r="H29" s="21">
        <v>36</v>
      </c>
      <c r="I29" s="22">
        <f>IF(OR('Men''s Epée'!$A$3=1,'Men''s Epée'!$S$3=TRUE),IF(OR(H29&gt;=49,ISNUMBER(H29)=FALSE),0,VLOOKUP(H29,PointTable,I$3,TRUE)),0)</f>
        <v>260</v>
      </c>
      <c r="J29" s="21">
        <v>19</v>
      </c>
      <c r="K29" s="22">
        <f>IF(OR('Men''s Epée'!$A$3=1,'Men''s Epée'!$T$3=TRUE),IF(OR(J29&gt;=49,ISNUMBER(J29)=FALSE),0,VLOOKUP(J29,PointTable,K$3,TRUE)),0)</f>
        <v>405</v>
      </c>
      <c r="L29" s="21">
        <v>21</v>
      </c>
      <c r="M29" s="22">
        <f>IF(OR('Men''s Epée'!$A$3=1,'Men''s Epée'!$U$3=TRUE),IF(OR(L29&gt;=49,ISNUMBER(L29)=FALSE),0,VLOOKUP(L29,PointTable,M$3,TRUE)),0)</f>
        <v>330</v>
      </c>
      <c r="N29" s="23"/>
      <c r="O29" s="23"/>
      <c r="P29" s="23"/>
      <c r="Q29" s="24"/>
      <c r="S29" s="25">
        <f t="shared" si="7"/>
        <v>260</v>
      </c>
      <c r="T29" s="25">
        <f t="shared" si="8"/>
        <v>405</v>
      </c>
      <c r="U29" s="25">
        <f t="shared" si="9"/>
        <v>330</v>
      </c>
      <c r="V29" s="25">
        <f>IF(OR('Men''s Epée'!$A$3=1,N29&gt;0),ABS(N29),0)</f>
        <v>0</v>
      </c>
      <c r="W29" s="25">
        <f>IF(OR('Men''s Epée'!$A$3=1,O29&gt;0),ABS(O29),0)</f>
        <v>0</v>
      </c>
      <c r="X29" s="25">
        <f>IF(OR('Men''s Epée'!$A$3=1,P29&gt;0),ABS(P29),0)</f>
        <v>0</v>
      </c>
      <c r="Y29" s="25">
        <f>IF(OR('Men''s Epée'!$A$3=1,Q29&gt;0),ABS(Q29),0)</f>
        <v>0</v>
      </c>
      <c r="AA29" s="12">
        <f>IF('Men''s Epée'!$S$3=TRUE,I29,0)</f>
        <v>260</v>
      </c>
      <c r="AB29" s="12">
        <f>IF('Men''s Epée'!$T$3=TRUE,K29,0)</f>
        <v>405</v>
      </c>
      <c r="AC29" s="12">
        <f>IF('Men''s Epée'!$U$3=TRUE,M29,0)</f>
        <v>330</v>
      </c>
      <c r="AD29" s="26">
        <f t="shared" si="10"/>
        <v>0</v>
      </c>
      <c r="AE29" s="26">
        <f t="shared" si="11"/>
        <v>0</v>
      </c>
      <c r="AF29" s="26">
        <f t="shared" si="12"/>
        <v>0</v>
      </c>
      <c r="AG29" s="26">
        <f t="shared" si="13"/>
        <v>0</v>
      </c>
      <c r="AH29" s="12">
        <f t="shared" si="6"/>
        <v>735</v>
      </c>
    </row>
    <row r="30" spans="1:34" ht="13.5">
      <c r="A30" s="16" t="str">
        <f t="shared" si="4"/>
        <v>27</v>
      </c>
      <c r="B30" s="16">
        <f t="shared" si="0"/>
      </c>
      <c r="C30" s="17" t="s">
        <v>44</v>
      </c>
      <c r="D30" s="18">
        <v>1981</v>
      </c>
      <c r="E30" s="19">
        <f>ROUND(F30+IF('Men''s Epée'!$A$3=1,G30,0)+LARGE($S30:$Y30,1)+LARGE($S30:$Y30,2),0)</f>
        <v>720</v>
      </c>
      <c r="F30" s="20"/>
      <c r="G30" s="21"/>
      <c r="H30" s="21" t="s">
        <v>5</v>
      </c>
      <c r="I30" s="22">
        <f>IF(OR('Men''s Epée'!$A$3=1,'Men''s Epée'!$S$3=TRUE),IF(OR(H30&gt;=49,ISNUMBER(H30)=FALSE),0,VLOOKUP(H30,PointTable,I$3,TRUE)),0)</f>
        <v>0</v>
      </c>
      <c r="J30" s="21">
        <v>21</v>
      </c>
      <c r="K30" s="22">
        <f>IF(OR('Men''s Epée'!$A$3=1,'Men''s Epée'!$T$3=TRUE),IF(OR(J30&gt;=49,ISNUMBER(J30)=FALSE),0,VLOOKUP(J30,PointTable,K$3,TRUE)),0)</f>
        <v>395</v>
      </c>
      <c r="L30" s="21">
        <v>22</v>
      </c>
      <c r="M30" s="22">
        <f>IF(OR('Men''s Epée'!$A$3=1,'Men''s Epée'!$U$3=TRUE),IF(OR(L30&gt;=49,ISNUMBER(L30)=FALSE),0,VLOOKUP(L30,PointTable,M$3,TRUE)),0)</f>
        <v>325</v>
      </c>
      <c r="N30" s="23"/>
      <c r="O30" s="23"/>
      <c r="P30" s="23"/>
      <c r="Q30" s="24"/>
      <c r="S30" s="25">
        <f t="shared" si="7"/>
        <v>0</v>
      </c>
      <c r="T30" s="25">
        <f t="shared" si="8"/>
        <v>395</v>
      </c>
      <c r="U30" s="25">
        <f t="shared" si="9"/>
        <v>325</v>
      </c>
      <c r="V30" s="25">
        <f>IF(OR('Men''s Epée'!$A$3=1,N30&gt;0),ABS(N30),0)</f>
        <v>0</v>
      </c>
      <c r="W30" s="25">
        <f>IF(OR('Men''s Epée'!$A$3=1,O30&gt;0),ABS(O30),0)</f>
        <v>0</v>
      </c>
      <c r="X30" s="25">
        <f>IF(OR('Men''s Epée'!$A$3=1,P30&gt;0),ABS(P30),0)</f>
        <v>0</v>
      </c>
      <c r="Y30" s="25">
        <f>IF(OR('Men''s Epée'!$A$3=1,Q30&gt;0),ABS(Q30),0)</f>
        <v>0</v>
      </c>
      <c r="AA30" s="12">
        <f>IF('Men''s Epée'!$S$3=TRUE,I30,0)</f>
        <v>0</v>
      </c>
      <c r="AB30" s="12">
        <f>IF('Men''s Epée'!$T$3=TRUE,K30,0)</f>
        <v>395</v>
      </c>
      <c r="AC30" s="12">
        <f>IF('Men''s Epée'!$U$3=TRUE,M30,0)</f>
        <v>325</v>
      </c>
      <c r="AD30" s="26">
        <f t="shared" si="10"/>
        <v>0</v>
      </c>
      <c r="AE30" s="26">
        <f t="shared" si="11"/>
        <v>0</v>
      </c>
      <c r="AF30" s="26">
        <f t="shared" si="12"/>
        <v>0</v>
      </c>
      <c r="AG30" s="26">
        <f t="shared" si="13"/>
        <v>0</v>
      </c>
      <c r="AH30" s="12">
        <f t="shared" si="6"/>
        <v>720</v>
      </c>
    </row>
    <row r="31" spans="1:34" ht="13.5">
      <c r="A31" s="16" t="str">
        <f t="shared" si="4"/>
        <v>28</v>
      </c>
      <c r="B31" s="16" t="str">
        <f t="shared" si="0"/>
        <v>#</v>
      </c>
      <c r="C31" s="17" t="s">
        <v>126</v>
      </c>
      <c r="D31" s="18">
        <v>1983</v>
      </c>
      <c r="E31" s="19">
        <f>ROUND(F31+IF('Men''s Epée'!$A$3=1,G31,0)+LARGE($S31:$Y31,1)+LARGE($S31:$Y31,2),0)</f>
        <v>710</v>
      </c>
      <c r="F31" s="20"/>
      <c r="G31" s="21"/>
      <c r="H31" s="21">
        <v>22</v>
      </c>
      <c r="I31" s="22">
        <f>IF(OR('Men''s Epée'!$A$3=1,'Men''s Epée'!$S$3=TRUE),IF(OR(H31&gt;=49,ISNUMBER(H31)=FALSE),0,VLOOKUP(H31,PointTable,I$3,TRUE)),0)</f>
        <v>390</v>
      </c>
      <c r="J31" s="21" t="s">
        <v>5</v>
      </c>
      <c r="K31" s="22">
        <f>IF(OR('Men''s Epée'!$A$3=1,'Men''s Epée'!$T$3=TRUE),IF(OR(J31&gt;=49,ISNUMBER(J31)=FALSE),0,VLOOKUP(J31,PointTable,K$3,TRUE)),0)</f>
        <v>0</v>
      </c>
      <c r="L31" s="21">
        <v>23</v>
      </c>
      <c r="M31" s="22">
        <f>IF(OR('Men''s Epée'!$A$3=1,'Men''s Epée'!$U$3=TRUE),IF(OR(L31&gt;=49,ISNUMBER(L31)=FALSE),0,VLOOKUP(L31,PointTable,M$3,TRUE)),0)</f>
        <v>320</v>
      </c>
      <c r="N31" s="23"/>
      <c r="O31" s="23"/>
      <c r="P31" s="23"/>
      <c r="Q31" s="24"/>
      <c r="S31" s="25">
        <f t="shared" si="7"/>
        <v>390</v>
      </c>
      <c r="T31" s="25">
        <f t="shared" si="8"/>
        <v>0</v>
      </c>
      <c r="U31" s="25">
        <f t="shared" si="9"/>
        <v>320</v>
      </c>
      <c r="V31" s="25">
        <f>IF(OR('Men''s Epée'!$A$3=1,N31&gt;0),ABS(N31),0)</f>
        <v>0</v>
      </c>
      <c r="W31" s="25">
        <f>IF(OR('Men''s Epée'!$A$3=1,O31&gt;0),ABS(O31),0)</f>
        <v>0</v>
      </c>
      <c r="X31" s="25">
        <f>IF(OR('Men''s Epée'!$A$3=1,P31&gt;0),ABS(P31),0)</f>
        <v>0</v>
      </c>
      <c r="Y31" s="25">
        <f>IF(OR('Men''s Epée'!$A$3=1,Q31&gt;0),ABS(Q31),0)</f>
        <v>0</v>
      </c>
      <c r="AA31" s="12">
        <f>IF('Men''s Epée'!$S$3=TRUE,I31,0)</f>
        <v>390</v>
      </c>
      <c r="AB31" s="12">
        <f>IF('Men''s Epée'!$T$3=TRUE,K31,0)</f>
        <v>0</v>
      </c>
      <c r="AC31" s="12">
        <f>IF('Men''s Epée'!$U$3=TRUE,M31,0)</f>
        <v>320</v>
      </c>
      <c r="AD31" s="26">
        <f t="shared" si="10"/>
        <v>0</v>
      </c>
      <c r="AE31" s="26">
        <f t="shared" si="11"/>
        <v>0</v>
      </c>
      <c r="AF31" s="26">
        <f t="shared" si="12"/>
        <v>0</v>
      </c>
      <c r="AG31" s="26">
        <f t="shared" si="13"/>
        <v>0</v>
      </c>
      <c r="AH31" s="12">
        <f t="shared" si="6"/>
        <v>710</v>
      </c>
    </row>
    <row r="32" spans="1:34" ht="13.5">
      <c r="A32" s="16" t="str">
        <f t="shared" si="4"/>
        <v>29</v>
      </c>
      <c r="B32" s="16" t="str">
        <f t="shared" si="0"/>
        <v>#</v>
      </c>
      <c r="C32" s="17" t="s">
        <v>217</v>
      </c>
      <c r="D32" s="18">
        <v>1983</v>
      </c>
      <c r="E32" s="19">
        <f>ROUND(F32+IF('Men''s Epée'!$A$3=1,G32,0)+LARGE($S32:$Y32,1)+LARGE($S32:$Y32,2),0)</f>
        <v>658</v>
      </c>
      <c r="F32" s="20"/>
      <c r="G32" s="21"/>
      <c r="H32" s="21">
        <v>32.5</v>
      </c>
      <c r="I32" s="22">
        <f>IF(OR('Men''s Epée'!$A$3=1,'Men''s Epée'!$S$3=TRUE),IF(OR(H32&gt;=49,ISNUMBER(H32)=FALSE),0,VLOOKUP(H32,PointTable,I$3,TRUE)),0)</f>
        <v>277.5</v>
      </c>
      <c r="J32" s="21">
        <v>24</v>
      </c>
      <c r="K32" s="22">
        <f>IF(OR('Men''s Epée'!$A$3=1,'Men''s Epée'!$T$3=TRUE),IF(OR(J32&gt;=49,ISNUMBER(J32)=FALSE),0,VLOOKUP(J32,PointTable,K$3,TRUE)),0)</f>
        <v>380</v>
      </c>
      <c r="L32" s="21" t="s">
        <v>5</v>
      </c>
      <c r="M32" s="22">
        <f>IF(OR('Men''s Epée'!$A$3=1,'Men''s Epée'!$U$3=TRUE),IF(OR(L32&gt;=49,ISNUMBER(L32)=FALSE),0,VLOOKUP(L32,PointTable,M$3,TRUE)),0)</f>
        <v>0</v>
      </c>
      <c r="N32" s="23"/>
      <c r="O32" s="23"/>
      <c r="P32" s="23"/>
      <c r="Q32" s="24"/>
      <c r="S32" s="25">
        <f t="shared" si="7"/>
        <v>277.5</v>
      </c>
      <c r="T32" s="25">
        <f t="shared" si="8"/>
        <v>380</v>
      </c>
      <c r="U32" s="25">
        <f t="shared" si="9"/>
        <v>0</v>
      </c>
      <c r="V32" s="25">
        <f>IF(OR('Men''s Epée'!$A$3=1,N32&gt;0),ABS(N32),0)</f>
        <v>0</v>
      </c>
      <c r="W32" s="25">
        <f>IF(OR('Men''s Epée'!$A$3=1,O32&gt;0),ABS(O32),0)</f>
        <v>0</v>
      </c>
      <c r="X32" s="25">
        <f>IF(OR('Men''s Epée'!$A$3=1,P32&gt;0),ABS(P32),0)</f>
        <v>0</v>
      </c>
      <c r="Y32" s="25">
        <f>IF(OR('Men''s Epée'!$A$3=1,Q32&gt;0),ABS(Q32),0)</f>
        <v>0</v>
      </c>
      <c r="AA32" s="12">
        <f>IF('Men''s Epée'!$S$3=TRUE,I32,0)</f>
        <v>277.5</v>
      </c>
      <c r="AB32" s="12">
        <f>IF('Men''s Epée'!$T$3=TRUE,K32,0)</f>
        <v>380</v>
      </c>
      <c r="AC32" s="12">
        <f>IF('Men''s Epée'!$U$3=TRUE,M32,0)</f>
        <v>0</v>
      </c>
      <c r="AD32" s="26">
        <f t="shared" si="10"/>
        <v>0</v>
      </c>
      <c r="AE32" s="26">
        <f t="shared" si="11"/>
        <v>0</v>
      </c>
      <c r="AF32" s="26">
        <f t="shared" si="12"/>
        <v>0</v>
      </c>
      <c r="AG32" s="26">
        <f t="shared" si="13"/>
        <v>0</v>
      </c>
      <c r="AH32" s="12">
        <f t="shared" si="6"/>
        <v>658</v>
      </c>
    </row>
    <row r="33" spans="1:34" ht="13.5">
      <c r="A33" s="16" t="str">
        <f t="shared" si="4"/>
        <v>30</v>
      </c>
      <c r="B33" s="16" t="str">
        <f t="shared" si="0"/>
        <v>#</v>
      </c>
      <c r="C33" s="17" t="s">
        <v>300</v>
      </c>
      <c r="D33" s="18">
        <v>1986</v>
      </c>
      <c r="E33" s="19">
        <f>ROUND(F33+IF('Men''s Epée'!$A$3=1,G33,0)+LARGE($S33:$Y33,1)+LARGE($S33:$Y33,2),0)</f>
        <v>622</v>
      </c>
      <c r="F33" s="20">
        <v>72</v>
      </c>
      <c r="G33" s="21"/>
      <c r="H33" s="21">
        <v>41</v>
      </c>
      <c r="I33" s="22">
        <f>IF(OR('Men''s Epée'!$A$3=1,'Men''s Epée'!$S$3=TRUE),IF(OR(H33&gt;=49,ISNUMBER(H33)=FALSE),0,VLOOKUP(H33,PointTable,I$3,TRUE)),0)</f>
        <v>235</v>
      </c>
      <c r="J33" s="21" t="s">
        <v>5</v>
      </c>
      <c r="K33" s="22">
        <f>IF(OR('Men''s Epée'!$A$3=1,'Men''s Epée'!$T$3=TRUE),IF(OR(J33&gt;=49,ISNUMBER(J33)=FALSE),0,VLOOKUP(J33,PointTable,K$3,TRUE)),0)</f>
        <v>0</v>
      </c>
      <c r="L33" s="21">
        <v>24</v>
      </c>
      <c r="M33" s="22">
        <f>IF(OR('Men''s Epée'!$A$3=1,'Men''s Epée'!$U$3=TRUE),IF(OR(L33&gt;=49,ISNUMBER(L33)=FALSE),0,VLOOKUP(L33,PointTable,M$3,TRUE)),0)</f>
        <v>315</v>
      </c>
      <c r="N33" s="23"/>
      <c r="O33" s="23"/>
      <c r="P33" s="23"/>
      <c r="Q33" s="24"/>
      <c r="S33" s="25">
        <f t="shared" si="7"/>
        <v>235</v>
      </c>
      <c r="T33" s="25">
        <f t="shared" si="8"/>
        <v>0</v>
      </c>
      <c r="U33" s="25">
        <f t="shared" si="9"/>
        <v>315</v>
      </c>
      <c r="V33" s="25">
        <f>IF(OR('Men''s Epée'!$A$3=1,N33&gt;0),ABS(N33),0)</f>
        <v>0</v>
      </c>
      <c r="W33" s="25">
        <f>IF(OR('Men''s Epée'!$A$3=1,O33&gt;0),ABS(O33),0)</f>
        <v>0</v>
      </c>
      <c r="X33" s="25">
        <f>IF(OR('Men''s Epée'!$A$3=1,P33&gt;0),ABS(P33),0)</f>
        <v>0</v>
      </c>
      <c r="Y33" s="25">
        <f>IF(OR('Men''s Epée'!$A$3=1,Q33&gt;0),ABS(Q33),0)</f>
        <v>0</v>
      </c>
      <c r="AA33" s="12">
        <f>IF('Men''s Epée'!$S$3=TRUE,I33,0)</f>
        <v>235</v>
      </c>
      <c r="AB33" s="12">
        <f>IF('Men''s Epée'!$T$3=TRUE,K33,0)</f>
        <v>0</v>
      </c>
      <c r="AC33" s="12">
        <f>IF('Men''s Epée'!$U$3=TRUE,M33,0)</f>
        <v>315</v>
      </c>
      <c r="AD33" s="26">
        <f t="shared" si="10"/>
        <v>0</v>
      </c>
      <c r="AE33" s="26">
        <f t="shared" si="11"/>
        <v>0</v>
      </c>
      <c r="AF33" s="26">
        <f t="shared" si="12"/>
        <v>0</v>
      </c>
      <c r="AG33" s="26">
        <f t="shared" si="13"/>
        <v>0</v>
      </c>
      <c r="AH33" s="12">
        <f t="shared" si="6"/>
        <v>622</v>
      </c>
    </row>
    <row r="34" spans="1:34" ht="13.5">
      <c r="A34" s="16" t="str">
        <f t="shared" si="4"/>
        <v>31</v>
      </c>
      <c r="B34" s="16" t="str">
        <f t="shared" si="0"/>
        <v>#</v>
      </c>
      <c r="C34" s="17" t="s">
        <v>153</v>
      </c>
      <c r="D34" s="18">
        <v>1985</v>
      </c>
      <c r="E34" s="19">
        <f>ROUND(F34+IF('Men''s Epée'!$A$3=1,G34,0)+LARGE($S34:$Y34,1)+LARGE($S34:$Y34,2),0)</f>
        <v>603</v>
      </c>
      <c r="F34" s="20"/>
      <c r="G34" s="21"/>
      <c r="H34" s="21">
        <v>26</v>
      </c>
      <c r="I34" s="22">
        <f>IF(OR('Men''s Epée'!$A$3=1,'Men''s Epée'!$S$3=TRUE),IF(OR(H34&gt;=49,ISNUMBER(H34)=FALSE),0,VLOOKUP(H34,PointTable,I$3,TRUE)),0)</f>
        <v>310</v>
      </c>
      <c r="J34" s="21">
        <v>29.5</v>
      </c>
      <c r="K34" s="22">
        <f>IF(OR('Men''s Epée'!$A$3=1,'Men''s Epée'!$T$3=TRUE),IF(OR(J34&gt;=49,ISNUMBER(J34)=FALSE),0,VLOOKUP(J34,PointTable,K$3,TRUE)),0)</f>
        <v>292.5</v>
      </c>
      <c r="L34" s="21" t="s">
        <v>5</v>
      </c>
      <c r="M34" s="22">
        <f>IF(OR('Men''s Epée'!$A$3=1,'Men''s Epée'!$U$3=TRUE),IF(OR(L34&gt;=49,ISNUMBER(L34)=FALSE),0,VLOOKUP(L34,PointTable,M$3,TRUE)),0)</f>
        <v>0</v>
      </c>
      <c r="N34" s="23"/>
      <c r="O34" s="23"/>
      <c r="P34" s="23"/>
      <c r="Q34" s="24"/>
      <c r="S34" s="25">
        <f t="shared" si="7"/>
        <v>310</v>
      </c>
      <c r="T34" s="25">
        <f t="shared" si="8"/>
        <v>292.5</v>
      </c>
      <c r="U34" s="25">
        <f t="shared" si="9"/>
        <v>0</v>
      </c>
      <c r="V34" s="25">
        <f>IF(OR('Men''s Epée'!$A$3=1,N34&gt;0),ABS(N34),0)</f>
        <v>0</v>
      </c>
      <c r="W34" s="25">
        <f>IF(OR('Men''s Epée'!$A$3=1,O34&gt;0),ABS(O34),0)</f>
        <v>0</v>
      </c>
      <c r="X34" s="25">
        <f>IF(OR('Men''s Epée'!$A$3=1,P34&gt;0),ABS(P34),0)</f>
        <v>0</v>
      </c>
      <c r="Y34" s="25">
        <f>IF(OR('Men''s Epée'!$A$3=1,Q34&gt;0),ABS(Q34),0)</f>
        <v>0</v>
      </c>
      <c r="AA34" s="12">
        <f>IF('Men''s Epée'!$S$3=TRUE,I34,0)</f>
        <v>310</v>
      </c>
      <c r="AB34" s="12">
        <f>IF('Men''s Epée'!$T$3=TRUE,K34,0)</f>
        <v>292.5</v>
      </c>
      <c r="AC34" s="12">
        <f>IF('Men''s Epée'!$U$3=TRUE,M34,0)</f>
        <v>0</v>
      </c>
      <c r="AD34" s="26">
        <f t="shared" si="10"/>
        <v>0</v>
      </c>
      <c r="AE34" s="26">
        <f t="shared" si="11"/>
        <v>0</v>
      </c>
      <c r="AF34" s="26">
        <f t="shared" si="12"/>
        <v>0</v>
      </c>
      <c r="AG34" s="26">
        <f t="shared" si="13"/>
        <v>0</v>
      </c>
      <c r="AH34" s="12">
        <f t="shared" si="6"/>
        <v>603</v>
      </c>
    </row>
    <row r="35" spans="1:34" ht="13.5">
      <c r="A35" s="16" t="str">
        <f t="shared" si="4"/>
        <v>32</v>
      </c>
      <c r="B35" s="16">
        <f t="shared" si="0"/>
      </c>
      <c r="C35" s="17" t="s">
        <v>173</v>
      </c>
      <c r="D35" s="18">
        <v>1975</v>
      </c>
      <c r="E35" s="19">
        <f>ROUND(F35+IF('Men''s Epée'!$A$3=1,G35,0)+LARGE($S35:$Y35,1)+LARGE($S35:$Y35,2),0)</f>
        <v>600</v>
      </c>
      <c r="F35" s="20"/>
      <c r="G35" s="21"/>
      <c r="H35" s="21">
        <v>31</v>
      </c>
      <c r="I35" s="22">
        <f>IF(OR('Men''s Epée'!$A$3=1,'Men''s Epée'!$S$3=TRUE),IF(OR(H35&gt;=49,ISNUMBER(H35)=FALSE),0,VLOOKUP(H35,PointTable,I$3,TRUE)),0)</f>
        <v>285</v>
      </c>
      <c r="J35" s="21">
        <v>25</v>
      </c>
      <c r="K35" s="22">
        <f>IF(OR('Men''s Epée'!$A$3=1,'Men''s Epée'!$T$3=TRUE),IF(OR(J35&gt;=49,ISNUMBER(J35)=FALSE),0,VLOOKUP(J35,PointTable,K$3,TRUE)),0)</f>
        <v>315</v>
      </c>
      <c r="L35" s="21" t="s">
        <v>5</v>
      </c>
      <c r="M35" s="22">
        <f>IF(OR('Men''s Epée'!$A$3=1,'Men''s Epée'!$U$3=TRUE),IF(OR(L35&gt;=49,ISNUMBER(L35)=FALSE),0,VLOOKUP(L35,PointTable,M$3,TRUE)),0)</f>
        <v>0</v>
      </c>
      <c r="N35" s="23"/>
      <c r="O35" s="23"/>
      <c r="P35" s="23"/>
      <c r="Q35" s="24"/>
      <c r="S35" s="25">
        <f t="shared" si="7"/>
        <v>285</v>
      </c>
      <c r="T35" s="25">
        <f t="shared" si="8"/>
        <v>315</v>
      </c>
      <c r="U35" s="25">
        <f t="shared" si="9"/>
        <v>0</v>
      </c>
      <c r="V35" s="25">
        <f>IF(OR('Men''s Epée'!$A$3=1,N35&gt;0),ABS(N35),0)</f>
        <v>0</v>
      </c>
      <c r="W35" s="25">
        <f>IF(OR('Men''s Epée'!$A$3=1,O35&gt;0),ABS(O35),0)</f>
        <v>0</v>
      </c>
      <c r="X35" s="25">
        <f>IF(OR('Men''s Epée'!$A$3=1,P35&gt;0),ABS(P35),0)</f>
        <v>0</v>
      </c>
      <c r="Y35" s="25">
        <f>IF(OR('Men''s Epée'!$A$3=1,Q35&gt;0),ABS(Q35),0)</f>
        <v>0</v>
      </c>
      <c r="AA35" s="12">
        <f>IF('Men''s Epée'!$S$3=TRUE,I35,0)</f>
        <v>285</v>
      </c>
      <c r="AB35" s="12">
        <f>IF('Men''s Epée'!$T$3=TRUE,K35,0)</f>
        <v>315</v>
      </c>
      <c r="AC35" s="12">
        <f>IF('Men''s Epée'!$U$3=TRUE,M35,0)</f>
        <v>0</v>
      </c>
      <c r="AD35" s="26">
        <f t="shared" si="10"/>
        <v>0</v>
      </c>
      <c r="AE35" s="26">
        <f t="shared" si="11"/>
        <v>0</v>
      </c>
      <c r="AF35" s="26">
        <f t="shared" si="12"/>
        <v>0</v>
      </c>
      <c r="AG35" s="26">
        <f t="shared" si="13"/>
        <v>0</v>
      </c>
      <c r="AH35" s="12">
        <f t="shared" si="6"/>
        <v>600</v>
      </c>
    </row>
    <row r="36" spans="1:34" ht="13.5">
      <c r="A36" s="16" t="str">
        <f t="shared" si="4"/>
        <v>33</v>
      </c>
      <c r="B36" s="16">
        <f aca="true" t="shared" si="14" ref="B36:B42">TRIM(IF(D36&gt;=JuniorCutoff,"#",""))</f>
      </c>
      <c r="C36" s="17" t="s">
        <v>38</v>
      </c>
      <c r="D36" s="18">
        <v>1955</v>
      </c>
      <c r="E36" s="19">
        <f>ROUND(F36+IF('Men''s Epée'!$A$3=1,G36,0)+LARGE($S36:$Y36,1)+LARGE($S36:$Y36,2),0)</f>
        <v>588</v>
      </c>
      <c r="F36" s="20"/>
      <c r="G36" s="21"/>
      <c r="H36" s="21">
        <v>29.5</v>
      </c>
      <c r="I36" s="22">
        <f>IF(OR('Men''s Epée'!$A$3=1,'Men''s Epée'!$S$3=TRUE),IF(OR(H36&gt;=49,ISNUMBER(H36)=FALSE),0,VLOOKUP(H36,PointTable,I$3,TRUE)),0)</f>
        <v>292.5</v>
      </c>
      <c r="J36" s="21">
        <v>46</v>
      </c>
      <c r="K36" s="22">
        <f>IF(OR('Men''s Epée'!$A$3=1,'Men''s Epée'!$T$3=TRUE),IF(OR(J36&gt;=49,ISNUMBER(J36)=FALSE),0,VLOOKUP(J36,PointTable,K$3,TRUE)),0)</f>
        <v>210</v>
      </c>
      <c r="L36" s="21">
        <v>28</v>
      </c>
      <c r="M36" s="22">
        <f>IF(OR('Men''s Epée'!$A$3=1,'Men''s Epée'!$U$3=TRUE),IF(OR(L36&gt;=49,ISNUMBER(L36)=FALSE),0,VLOOKUP(L36,PointTable,M$3,TRUE)),0)</f>
        <v>295</v>
      </c>
      <c r="N36" s="23"/>
      <c r="O36" s="23"/>
      <c r="P36" s="23"/>
      <c r="Q36" s="24"/>
      <c r="S36" s="25">
        <f aca="true" t="shared" si="15" ref="S36:S41">I36</f>
        <v>292.5</v>
      </c>
      <c r="T36" s="25">
        <f aca="true" t="shared" si="16" ref="T36:T41">K36</f>
        <v>210</v>
      </c>
      <c r="U36" s="25">
        <f aca="true" t="shared" si="17" ref="U36:U41">M36</f>
        <v>295</v>
      </c>
      <c r="V36" s="25">
        <f>IF(OR('Men''s Epée'!$A$3=1,N36&gt;0),ABS(N36),0)</f>
        <v>0</v>
      </c>
      <c r="W36" s="25">
        <f>IF(OR('Men''s Epée'!$A$3=1,O36&gt;0),ABS(O36),0)</f>
        <v>0</v>
      </c>
      <c r="X36" s="25">
        <f>IF(OR('Men''s Epée'!$A$3=1,P36&gt;0),ABS(P36),0)</f>
        <v>0</v>
      </c>
      <c r="Y36" s="25">
        <f>IF(OR('Men''s Epée'!$A$3=1,Q36&gt;0),ABS(Q36),0)</f>
        <v>0</v>
      </c>
      <c r="AA36" s="12">
        <f>IF('Men''s Epée'!$S$3=TRUE,I36,0)</f>
        <v>292.5</v>
      </c>
      <c r="AB36" s="12">
        <f>IF('Men''s Epée'!$T$3=TRUE,K36,0)</f>
        <v>210</v>
      </c>
      <c r="AC36" s="12">
        <f>IF('Men''s Epée'!$U$3=TRUE,M36,0)</f>
        <v>295</v>
      </c>
      <c r="AD36" s="26">
        <f aca="true" t="shared" si="18" ref="AD36:AD41">MAX(N36,0)</f>
        <v>0</v>
      </c>
      <c r="AE36" s="26">
        <f aca="true" t="shared" si="19" ref="AE36:AE41">MAX(O36,0)</f>
        <v>0</v>
      </c>
      <c r="AF36" s="26">
        <f aca="true" t="shared" si="20" ref="AF36:AF41">MAX(P36,0)</f>
        <v>0</v>
      </c>
      <c r="AG36" s="26">
        <f aca="true" t="shared" si="21" ref="AG36:AG41">MAX(Q36,0)</f>
        <v>0</v>
      </c>
      <c r="AH36" s="12">
        <f t="shared" si="6"/>
        <v>588</v>
      </c>
    </row>
    <row r="37" spans="1:34" ht="13.5">
      <c r="A37" s="16" t="str">
        <f t="shared" si="4"/>
        <v>34</v>
      </c>
      <c r="B37" s="16">
        <f t="shared" si="14"/>
      </c>
      <c r="C37" s="17" t="s">
        <v>97</v>
      </c>
      <c r="D37" s="18">
        <v>1981</v>
      </c>
      <c r="E37" s="19">
        <f>ROUND(F37+IF('Men''s Epée'!$A$3=1,G37,0)+LARGE($S37:$Y37,1)+LARGE($S37:$Y37,2),0)</f>
        <v>583</v>
      </c>
      <c r="F37" s="20"/>
      <c r="G37" s="21"/>
      <c r="H37" s="21">
        <v>25</v>
      </c>
      <c r="I37" s="22">
        <f>IF(OR('Men''s Epée'!$A$3=1,'Men''s Epée'!$S$3=TRUE),IF(OR(H37&gt;=49,ISNUMBER(H37)=FALSE),0,VLOOKUP(H37,PointTable,I$3,TRUE)),0)</f>
        <v>315</v>
      </c>
      <c r="J37" s="21">
        <v>34.5</v>
      </c>
      <c r="K37" s="22">
        <f>IF(OR('Men''s Epée'!$A$3=1,'Men''s Epée'!$T$3=TRUE),IF(OR(J37&gt;=49,ISNUMBER(J37)=FALSE),0,VLOOKUP(J37,PointTable,K$3,TRUE)),0)</f>
        <v>267.5</v>
      </c>
      <c r="L37" s="21" t="s">
        <v>5</v>
      </c>
      <c r="M37" s="22">
        <f>IF(OR('Men''s Epée'!$A$3=1,'Men''s Epée'!$U$3=TRUE),IF(OR(L37&gt;=49,ISNUMBER(L37)=FALSE),0,VLOOKUP(L37,PointTable,M$3,TRUE)),0)</f>
        <v>0</v>
      </c>
      <c r="N37" s="23"/>
      <c r="O37" s="23"/>
      <c r="P37" s="23"/>
      <c r="Q37" s="24"/>
      <c r="S37" s="25">
        <f t="shared" si="15"/>
        <v>315</v>
      </c>
      <c r="T37" s="25">
        <f t="shared" si="16"/>
        <v>267.5</v>
      </c>
      <c r="U37" s="25">
        <f t="shared" si="17"/>
        <v>0</v>
      </c>
      <c r="V37" s="25">
        <f>IF(OR('Men''s Epée'!$A$3=1,N37&gt;0),ABS(N37),0)</f>
        <v>0</v>
      </c>
      <c r="W37" s="25">
        <f>IF(OR('Men''s Epée'!$A$3=1,O37&gt;0),ABS(O37),0)</f>
        <v>0</v>
      </c>
      <c r="X37" s="25">
        <f>IF(OR('Men''s Epée'!$A$3=1,P37&gt;0),ABS(P37),0)</f>
        <v>0</v>
      </c>
      <c r="Y37" s="25">
        <f>IF(OR('Men''s Epée'!$A$3=1,Q37&gt;0),ABS(Q37),0)</f>
        <v>0</v>
      </c>
      <c r="AA37" s="12">
        <f>IF('Men''s Epée'!$S$3=TRUE,I37,0)</f>
        <v>315</v>
      </c>
      <c r="AB37" s="12">
        <f>IF('Men''s Epée'!$T$3=TRUE,K37,0)</f>
        <v>267.5</v>
      </c>
      <c r="AC37" s="12">
        <f>IF('Men''s Epée'!$U$3=TRUE,M37,0)</f>
        <v>0</v>
      </c>
      <c r="AD37" s="26">
        <f t="shared" si="18"/>
        <v>0</v>
      </c>
      <c r="AE37" s="26">
        <f t="shared" si="19"/>
        <v>0</v>
      </c>
      <c r="AF37" s="26">
        <f t="shared" si="20"/>
        <v>0</v>
      </c>
      <c r="AG37" s="26">
        <f t="shared" si="21"/>
        <v>0</v>
      </c>
      <c r="AH37" s="12">
        <f t="shared" si="6"/>
        <v>583</v>
      </c>
    </row>
    <row r="38" spans="1:34" ht="13.5">
      <c r="A38" s="16" t="str">
        <f t="shared" si="4"/>
        <v>35</v>
      </c>
      <c r="B38" s="16" t="str">
        <f t="shared" si="14"/>
        <v>#</v>
      </c>
      <c r="C38" s="17" t="s">
        <v>125</v>
      </c>
      <c r="D38" s="18">
        <v>1984</v>
      </c>
      <c r="E38" s="19">
        <f>ROUND(F38+IF('Men''s Epée'!$A$3=1,G38,0)+LARGE($S38:$Y38,1)+LARGE($S38:$Y38,2),0)</f>
        <v>578</v>
      </c>
      <c r="F38" s="20"/>
      <c r="G38" s="21"/>
      <c r="H38" s="21">
        <v>32.5</v>
      </c>
      <c r="I38" s="22">
        <f>IF(OR('Men''s Epée'!$A$3=1,'Men''s Epée'!$S$3=TRUE),IF(OR(H38&gt;=49,ISNUMBER(H38)=FALSE),0,VLOOKUP(H38,PointTable,I$3,TRUE)),0)</f>
        <v>277.5</v>
      </c>
      <c r="J38" s="21" t="s">
        <v>5</v>
      </c>
      <c r="K38" s="22">
        <f>IF(OR('Men''s Epée'!$A$3=1,'Men''s Epée'!$T$3=TRUE),IF(OR(J38&gt;=49,ISNUMBER(J38)=FALSE),0,VLOOKUP(J38,PointTable,K$3,TRUE)),0)</f>
        <v>0</v>
      </c>
      <c r="L38" s="21">
        <v>27</v>
      </c>
      <c r="M38" s="22">
        <f>IF(OR('Men''s Epée'!$A$3=1,'Men''s Epée'!$U$3=TRUE),IF(OR(L38&gt;=49,ISNUMBER(L38)=FALSE),0,VLOOKUP(L38,PointTable,M$3,TRUE)),0)</f>
        <v>300</v>
      </c>
      <c r="N38" s="23"/>
      <c r="O38" s="23"/>
      <c r="P38" s="23"/>
      <c r="Q38" s="24"/>
      <c r="S38" s="25">
        <f t="shared" si="15"/>
        <v>277.5</v>
      </c>
      <c r="T38" s="25">
        <f t="shared" si="16"/>
        <v>0</v>
      </c>
      <c r="U38" s="25">
        <f t="shared" si="17"/>
        <v>300</v>
      </c>
      <c r="V38" s="25">
        <f>IF(OR('Men''s Epée'!$A$3=1,N38&gt;0),ABS(N38),0)</f>
        <v>0</v>
      </c>
      <c r="W38" s="25">
        <f>IF(OR('Men''s Epée'!$A$3=1,O38&gt;0),ABS(O38),0)</f>
        <v>0</v>
      </c>
      <c r="X38" s="25">
        <f>IF(OR('Men''s Epée'!$A$3=1,P38&gt;0),ABS(P38),0)</f>
        <v>0</v>
      </c>
      <c r="Y38" s="25">
        <f>IF(OR('Men''s Epée'!$A$3=1,Q38&gt;0),ABS(Q38),0)</f>
        <v>0</v>
      </c>
      <c r="AA38" s="12">
        <f>IF('Men''s Epée'!$S$3=TRUE,I38,0)</f>
        <v>277.5</v>
      </c>
      <c r="AB38" s="12">
        <f>IF('Men''s Epée'!$T$3=TRUE,K38,0)</f>
        <v>0</v>
      </c>
      <c r="AC38" s="12">
        <f>IF('Men''s Epée'!$U$3=TRUE,M38,0)</f>
        <v>300</v>
      </c>
      <c r="AD38" s="26">
        <f t="shared" si="18"/>
        <v>0</v>
      </c>
      <c r="AE38" s="26">
        <f t="shared" si="19"/>
        <v>0</v>
      </c>
      <c r="AF38" s="26">
        <f t="shared" si="20"/>
        <v>0</v>
      </c>
      <c r="AG38" s="26">
        <f t="shared" si="21"/>
        <v>0</v>
      </c>
      <c r="AH38" s="12">
        <f t="shared" si="6"/>
        <v>578</v>
      </c>
    </row>
    <row r="39" spans="1:34" ht="13.5">
      <c r="A39" s="16" t="str">
        <f t="shared" si="4"/>
        <v>36</v>
      </c>
      <c r="B39" s="16">
        <f t="shared" si="14"/>
      </c>
      <c r="C39" s="17" t="s">
        <v>265</v>
      </c>
      <c r="D39" s="18">
        <v>1958</v>
      </c>
      <c r="E39" s="19">
        <f>ROUND(F39+IF('Men''s Epée'!$A$3=1,G39,0)+LARGE($S39:$Y39,1)+LARGE($S39:$Y39,2),0)</f>
        <v>530</v>
      </c>
      <c r="F39" s="20"/>
      <c r="G39" s="21"/>
      <c r="H39" s="21">
        <v>39</v>
      </c>
      <c r="I39" s="22">
        <f>IF(OR('Men''s Epée'!$A$3=1,'Men''s Epée'!$S$3=TRUE),IF(OR(H39&gt;=49,ISNUMBER(H39)=FALSE),0,VLOOKUP(H39,PointTable,I$3,TRUE)),0)</f>
        <v>245</v>
      </c>
      <c r="J39" s="21" t="s">
        <v>5</v>
      </c>
      <c r="K39" s="22">
        <f>IF(OR('Men''s Epée'!$A$3=1,'Men''s Epée'!$T$3=TRUE),IF(OR(J39&gt;=49,ISNUMBER(J39)=FALSE),0,VLOOKUP(J39,PointTable,K$3,TRUE)),0)</f>
        <v>0</v>
      </c>
      <c r="L39" s="21">
        <v>30</v>
      </c>
      <c r="M39" s="22">
        <f>IF(OR('Men''s Epée'!$A$3=1,'Men''s Epée'!$U$3=TRUE),IF(OR(L39&gt;=49,ISNUMBER(L39)=FALSE),0,VLOOKUP(L39,PointTable,M$3,TRUE)),0)</f>
        <v>285</v>
      </c>
      <c r="N39" s="23"/>
      <c r="O39" s="23"/>
      <c r="P39" s="23"/>
      <c r="Q39" s="24"/>
      <c r="S39" s="25">
        <f t="shared" si="15"/>
        <v>245</v>
      </c>
      <c r="T39" s="25">
        <f t="shared" si="16"/>
        <v>0</v>
      </c>
      <c r="U39" s="25">
        <f t="shared" si="17"/>
        <v>285</v>
      </c>
      <c r="V39" s="25">
        <f>IF(OR('Men''s Epée'!$A$3=1,N39&gt;0),ABS(N39),0)</f>
        <v>0</v>
      </c>
      <c r="W39" s="25">
        <f>IF(OR('Men''s Epée'!$A$3=1,O39&gt;0),ABS(O39),0)</f>
        <v>0</v>
      </c>
      <c r="X39" s="25">
        <f>IF(OR('Men''s Epée'!$A$3=1,P39&gt;0),ABS(P39),0)</f>
        <v>0</v>
      </c>
      <c r="Y39" s="25">
        <f>IF(OR('Men''s Epée'!$A$3=1,Q39&gt;0),ABS(Q39),0)</f>
        <v>0</v>
      </c>
      <c r="AA39" s="12">
        <f>IF('Men''s Epée'!$S$3=TRUE,I39,0)</f>
        <v>245</v>
      </c>
      <c r="AB39" s="12">
        <f>IF('Men''s Epée'!$T$3=TRUE,K39,0)</f>
        <v>0</v>
      </c>
      <c r="AC39" s="12">
        <f>IF('Men''s Epée'!$U$3=TRUE,M39,0)</f>
        <v>285</v>
      </c>
      <c r="AD39" s="26">
        <f t="shared" si="18"/>
        <v>0</v>
      </c>
      <c r="AE39" s="26">
        <f t="shared" si="19"/>
        <v>0</v>
      </c>
      <c r="AF39" s="26">
        <f t="shared" si="20"/>
        <v>0</v>
      </c>
      <c r="AG39" s="26">
        <f t="shared" si="21"/>
        <v>0</v>
      </c>
      <c r="AH39" s="12">
        <f t="shared" si="6"/>
        <v>530</v>
      </c>
    </row>
    <row r="40" spans="1:34" ht="13.5">
      <c r="A40" s="16" t="str">
        <f t="shared" si="4"/>
        <v>37</v>
      </c>
      <c r="B40" s="16">
        <f t="shared" si="14"/>
      </c>
      <c r="C40" s="17" t="s">
        <v>162</v>
      </c>
      <c r="D40" s="36">
        <v>1974</v>
      </c>
      <c r="E40" s="19">
        <f>ROUND(F40+IF('Men''s Epée'!$A$3=1,G40,0)+LARGE($S40:$Y40,1)+LARGE($S40:$Y40,2),0)</f>
        <v>500</v>
      </c>
      <c r="F40" s="20"/>
      <c r="G40" s="21"/>
      <c r="H40" s="21">
        <v>38</v>
      </c>
      <c r="I40" s="22">
        <f>IF(OR('Men''s Epée'!$A$3=1,'Men''s Epée'!$S$3=TRUE),IF(OR(H40&gt;=49,ISNUMBER(H40)=FALSE),0,VLOOKUP(H40,PointTable,I$3,TRUE)),0)</f>
        <v>250</v>
      </c>
      <c r="J40" s="21">
        <v>38</v>
      </c>
      <c r="K40" s="22">
        <f>IF(OR('Men''s Epée'!$A$3=1,'Men''s Epée'!$T$3=TRUE),IF(OR(J40&gt;=49,ISNUMBER(J40)=FALSE),0,VLOOKUP(J40,PointTable,K$3,TRUE)),0)</f>
        <v>250</v>
      </c>
      <c r="L40" s="21" t="s">
        <v>5</v>
      </c>
      <c r="M40" s="22">
        <f>IF(OR('Men''s Epée'!$A$3=1,'Men''s Epée'!$U$3=TRUE),IF(OR(L40&gt;=49,ISNUMBER(L40)=FALSE),0,VLOOKUP(L40,PointTable,M$3,TRUE)),0)</f>
        <v>0</v>
      </c>
      <c r="N40" s="23"/>
      <c r="O40" s="23"/>
      <c r="P40" s="23"/>
      <c r="Q40" s="24"/>
      <c r="S40" s="25">
        <f t="shared" si="15"/>
        <v>250</v>
      </c>
      <c r="T40" s="25">
        <f t="shared" si="16"/>
        <v>250</v>
      </c>
      <c r="U40" s="25">
        <f t="shared" si="17"/>
        <v>0</v>
      </c>
      <c r="V40" s="25">
        <f>IF(OR('Men''s Epée'!$A$3=1,N40&gt;0),ABS(N40),0)</f>
        <v>0</v>
      </c>
      <c r="W40" s="25">
        <f>IF(OR('Men''s Epée'!$A$3=1,O40&gt;0),ABS(O40),0)</f>
        <v>0</v>
      </c>
      <c r="X40" s="25">
        <f>IF(OR('Men''s Epée'!$A$3=1,P40&gt;0),ABS(P40),0)</f>
        <v>0</v>
      </c>
      <c r="Y40" s="25">
        <f>IF(OR('Men''s Epée'!$A$3=1,Q40&gt;0),ABS(Q40),0)</f>
        <v>0</v>
      </c>
      <c r="AA40" s="12">
        <f>IF('Men''s Epée'!$S$3=TRUE,I40,0)</f>
        <v>250</v>
      </c>
      <c r="AB40" s="12">
        <f>IF('Men''s Epée'!$T$3=TRUE,K40,0)</f>
        <v>250</v>
      </c>
      <c r="AC40" s="12">
        <f>IF('Men''s Epée'!$U$3=TRUE,M40,0)</f>
        <v>0</v>
      </c>
      <c r="AD40" s="26">
        <f t="shared" si="18"/>
        <v>0</v>
      </c>
      <c r="AE40" s="26">
        <f t="shared" si="19"/>
        <v>0</v>
      </c>
      <c r="AF40" s="26">
        <f t="shared" si="20"/>
        <v>0</v>
      </c>
      <c r="AG40" s="26">
        <f t="shared" si="21"/>
        <v>0</v>
      </c>
      <c r="AH40" s="12">
        <f t="shared" si="6"/>
        <v>500</v>
      </c>
    </row>
    <row r="41" spans="1:34" ht="13.5">
      <c r="A41" s="16" t="str">
        <f t="shared" si="4"/>
        <v>38</v>
      </c>
      <c r="B41" s="16">
        <f>TRIM(IF(D41&gt;=JuniorCutoff,"#",""))</f>
      </c>
      <c r="C41" s="17" t="s">
        <v>170</v>
      </c>
      <c r="D41" s="18">
        <v>1981</v>
      </c>
      <c r="E41" s="19">
        <f>ROUND(F41+IF('Men''s Epée'!$A$3=1,G41,0)+LARGE($S41:$Y41,1)+LARGE($S41:$Y41,2),0)</f>
        <v>480</v>
      </c>
      <c r="F41" s="20"/>
      <c r="G41" s="21"/>
      <c r="H41" s="21">
        <v>16</v>
      </c>
      <c r="I41" s="22">
        <f>IF(OR('Men''s Epée'!$A$3=1,'Men''s Epée'!$S$3=TRUE),IF(OR(H41&gt;=49,ISNUMBER(H41)=FALSE),0,VLOOKUP(H41,PointTable,I$3,TRUE)),0)</f>
        <v>480</v>
      </c>
      <c r="J41" s="21" t="s">
        <v>5</v>
      </c>
      <c r="K41" s="22">
        <f>IF(OR('Men''s Epée'!$A$3=1,'Men''s Epée'!$T$3=TRUE),IF(OR(J41&gt;=49,ISNUMBER(J41)=FALSE),0,VLOOKUP(J41,PointTable,K$3,TRUE)),0)</f>
        <v>0</v>
      </c>
      <c r="L41" s="21" t="s">
        <v>5</v>
      </c>
      <c r="M41" s="22">
        <f>IF(OR('Men''s Epée'!$A$3=1,'Men''s Epée'!$U$3=TRUE),IF(OR(L41&gt;=49,ISNUMBER(L41)=FALSE),0,VLOOKUP(L41,PointTable,M$3,TRUE)),0)</f>
        <v>0</v>
      </c>
      <c r="N41" s="23"/>
      <c r="O41" s="23"/>
      <c r="P41" s="23"/>
      <c r="Q41" s="24"/>
      <c r="S41" s="25">
        <f t="shared" si="15"/>
        <v>480</v>
      </c>
      <c r="T41" s="25">
        <f t="shared" si="16"/>
        <v>0</v>
      </c>
      <c r="U41" s="25">
        <f t="shared" si="17"/>
        <v>0</v>
      </c>
      <c r="V41" s="25">
        <f>IF(OR('Men''s Epée'!$A$3=1,N41&gt;0),ABS(N41),0)</f>
        <v>0</v>
      </c>
      <c r="W41" s="25">
        <f>IF(OR('Men''s Epée'!$A$3=1,O41&gt;0),ABS(O41),0)</f>
        <v>0</v>
      </c>
      <c r="X41" s="25">
        <f>IF(OR('Men''s Epée'!$A$3=1,P41&gt;0),ABS(P41),0)</f>
        <v>0</v>
      </c>
      <c r="Y41" s="25">
        <f>IF(OR('Men''s Epée'!$A$3=1,Q41&gt;0),ABS(Q41),0)</f>
        <v>0</v>
      </c>
      <c r="AA41" s="12">
        <f>IF('Men''s Epée'!$S$3=TRUE,I41,0)</f>
        <v>480</v>
      </c>
      <c r="AB41" s="12">
        <f>IF('Men''s Epée'!$T$3=TRUE,K41,0)</f>
        <v>0</v>
      </c>
      <c r="AC41" s="12">
        <f>IF('Men''s Epée'!$U$3=TRUE,M41,0)</f>
        <v>0</v>
      </c>
      <c r="AD41" s="26">
        <f t="shared" si="18"/>
        <v>0</v>
      </c>
      <c r="AE41" s="26">
        <f t="shared" si="19"/>
        <v>0</v>
      </c>
      <c r="AF41" s="26">
        <f t="shared" si="20"/>
        <v>0</v>
      </c>
      <c r="AG41" s="26">
        <f t="shared" si="21"/>
        <v>0</v>
      </c>
      <c r="AH41" s="12">
        <f t="shared" si="6"/>
        <v>480</v>
      </c>
    </row>
    <row r="42" spans="1:34" ht="13.5">
      <c r="A42" s="16" t="str">
        <f t="shared" si="4"/>
        <v>39</v>
      </c>
      <c r="B42" s="16" t="str">
        <f t="shared" si="14"/>
        <v>#</v>
      </c>
      <c r="C42" s="17" t="s">
        <v>334</v>
      </c>
      <c r="D42" s="18">
        <v>1988</v>
      </c>
      <c r="E42" s="19">
        <f>ROUND(F42+IF('Men''s Epée'!$A$3=1,G42,0)+LARGE($S42:$Y42,1)+LARGE($S42:$Y42,2),0)</f>
        <v>475</v>
      </c>
      <c r="F42" s="20"/>
      <c r="G42" s="21"/>
      <c r="H42" s="21" t="s">
        <v>5</v>
      </c>
      <c r="I42" s="22">
        <f>IF(OR('Men''s Epée'!$A$3=1,'Men''s Epée'!$S$3=TRUE),IF(OR(H42&gt;=49,ISNUMBER(H42)=FALSE),0,VLOOKUP(H42,PointTable,I$3,TRUE)),0)</f>
        <v>0</v>
      </c>
      <c r="J42" s="21">
        <v>48</v>
      </c>
      <c r="K42" s="22">
        <f>IF(OR('Men''s Epée'!$A$3=1,'Men''s Epée'!$T$3=TRUE),IF(OR(J42&gt;=49,ISNUMBER(J42)=FALSE),0,VLOOKUP(J42,PointTable,K$3,TRUE)),0)</f>
        <v>200</v>
      </c>
      <c r="L42" s="21">
        <v>32</v>
      </c>
      <c r="M42" s="22">
        <f>IF(OR('Men''s Epée'!$A$3=1,'Men''s Epée'!$U$3=TRUE),IF(OR(L42&gt;=49,ISNUMBER(L42)=FALSE),0,VLOOKUP(L42,PointTable,M$3,TRUE)),0)</f>
        <v>275</v>
      </c>
      <c r="N42" s="23"/>
      <c r="O42" s="23"/>
      <c r="P42" s="23"/>
      <c r="Q42" s="24"/>
      <c r="S42" s="25">
        <f>I42</f>
        <v>0</v>
      </c>
      <c r="T42" s="25">
        <f>K42</f>
        <v>200</v>
      </c>
      <c r="U42" s="25">
        <f>M42</f>
        <v>275</v>
      </c>
      <c r="V42" s="25">
        <f>IF(OR('Men''s Epée'!$A$3=1,N42&gt;0),ABS(N42),0)</f>
        <v>0</v>
      </c>
      <c r="W42" s="25">
        <f>IF(OR('Men''s Epée'!$A$3=1,O42&gt;0),ABS(O42),0)</f>
        <v>0</v>
      </c>
      <c r="X42" s="25">
        <f>IF(OR('Men''s Epée'!$A$3=1,P42&gt;0),ABS(P42),0)</f>
        <v>0</v>
      </c>
      <c r="Y42" s="25">
        <f>IF(OR('Men''s Epée'!$A$3=1,Q42&gt;0),ABS(Q42),0)</f>
        <v>0</v>
      </c>
      <c r="AA42" s="12">
        <f>IF('Men''s Epée'!$S$3=TRUE,I42,0)</f>
        <v>0</v>
      </c>
      <c r="AB42" s="12">
        <f>IF('Men''s Epée'!$T$3=TRUE,K42,0)</f>
        <v>200</v>
      </c>
      <c r="AC42" s="12">
        <f>IF('Men''s Epée'!$U$3=TRUE,M42,0)</f>
        <v>275</v>
      </c>
      <c r="AD42" s="26">
        <f>MAX(N42,0)</f>
        <v>0</v>
      </c>
      <c r="AE42" s="26">
        <f>MAX(O42,0)</f>
        <v>0</v>
      </c>
      <c r="AF42" s="26">
        <f>MAX(P42,0)</f>
        <v>0</v>
      </c>
      <c r="AG42" s="26">
        <f>MAX(Q42,0)</f>
        <v>0</v>
      </c>
      <c r="AH42" s="12">
        <f t="shared" si="6"/>
        <v>475</v>
      </c>
    </row>
    <row r="43" spans="1:34" ht="13.5">
      <c r="A43" s="16" t="str">
        <f t="shared" si="4"/>
        <v>40</v>
      </c>
      <c r="B43" s="16" t="str">
        <f aca="true" t="shared" si="22" ref="B43:B64">TRIM(IF(D43&gt;=JuniorCutoff,"#",""))</f>
        <v>#</v>
      </c>
      <c r="C43" s="17" t="s">
        <v>154</v>
      </c>
      <c r="D43" s="18">
        <v>1985</v>
      </c>
      <c r="E43" s="19">
        <f>ROUND(F43+IF('Men''s Epée'!$A$3=1,G43,0)+LARGE($S43:$Y43,1)+LARGE($S43:$Y43,2),0)</f>
        <v>405</v>
      </c>
      <c r="F43" s="20"/>
      <c r="G43" s="21"/>
      <c r="H43" s="21">
        <v>19</v>
      </c>
      <c r="I43" s="22">
        <f>IF(OR('Men''s Epée'!$A$3=1,'Men''s Epée'!$S$3=TRUE),IF(OR(H43&gt;=49,ISNUMBER(H43)=FALSE),0,VLOOKUP(H43,PointTable,I$3,TRUE)),0)</f>
        <v>405</v>
      </c>
      <c r="J43" s="21" t="s">
        <v>5</v>
      </c>
      <c r="K43" s="22">
        <f>IF(OR('Men''s Epée'!$A$3=1,'Men''s Epée'!$T$3=TRUE),IF(OR(J43&gt;=49,ISNUMBER(J43)=FALSE),0,VLOOKUP(J43,PointTable,K$3,TRUE)),0)</f>
        <v>0</v>
      </c>
      <c r="L43" s="21" t="s">
        <v>5</v>
      </c>
      <c r="M43" s="22">
        <f>IF(OR('Men''s Epée'!$A$3=1,'Men''s Epée'!$U$3=TRUE),IF(OR(L43&gt;=49,ISNUMBER(L43)=FALSE),0,VLOOKUP(L43,PointTable,M$3,TRUE)),0)</f>
        <v>0</v>
      </c>
      <c r="N43" s="23"/>
      <c r="O43" s="23"/>
      <c r="P43" s="23"/>
      <c r="Q43" s="24"/>
      <c r="S43" s="25">
        <f aca="true" t="shared" si="23" ref="S43:S64">I43</f>
        <v>405</v>
      </c>
      <c r="T43" s="25">
        <f aca="true" t="shared" si="24" ref="T43:T64">K43</f>
        <v>0</v>
      </c>
      <c r="U43" s="25">
        <f aca="true" t="shared" si="25" ref="U43:U64">M43</f>
        <v>0</v>
      </c>
      <c r="V43" s="25">
        <f>IF(OR('Men''s Epée'!$A$3=1,N43&gt;0),ABS(N43),0)</f>
        <v>0</v>
      </c>
      <c r="W43" s="25">
        <f>IF(OR('Men''s Epée'!$A$3=1,O43&gt;0),ABS(O43),0)</f>
        <v>0</v>
      </c>
      <c r="X43" s="25">
        <f>IF(OR('Men''s Epée'!$A$3=1,P43&gt;0),ABS(P43),0)</f>
        <v>0</v>
      </c>
      <c r="Y43" s="25">
        <f>IF(OR('Men''s Epée'!$A$3=1,Q43&gt;0),ABS(Q43),0)</f>
        <v>0</v>
      </c>
      <c r="AA43" s="12">
        <f>IF('Men''s Epée'!$S$3=TRUE,I43,0)</f>
        <v>405</v>
      </c>
      <c r="AB43" s="12">
        <f>IF('Men''s Epée'!$T$3=TRUE,K43,0)</f>
        <v>0</v>
      </c>
      <c r="AC43" s="12">
        <f>IF('Men''s Epée'!$U$3=TRUE,M43,0)</f>
        <v>0</v>
      </c>
      <c r="AD43" s="26">
        <f aca="true" t="shared" si="26" ref="AD43:AD64">MAX(N43,0)</f>
        <v>0</v>
      </c>
      <c r="AE43" s="26">
        <f aca="true" t="shared" si="27" ref="AE43:AE64">MAX(O43,0)</f>
        <v>0</v>
      </c>
      <c r="AF43" s="26">
        <f aca="true" t="shared" si="28" ref="AF43:AF64">MAX(P43,0)</f>
        <v>0</v>
      </c>
      <c r="AG43" s="26">
        <f aca="true" t="shared" si="29" ref="AG43:AG64">MAX(Q43,0)</f>
        <v>0</v>
      </c>
      <c r="AH43" s="12">
        <f t="shared" si="6"/>
        <v>405</v>
      </c>
    </row>
    <row r="44" spans="1:34" ht="13.5">
      <c r="A44" s="16" t="str">
        <f t="shared" si="4"/>
        <v>41</v>
      </c>
      <c r="B44" s="16" t="str">
        <f t="shared" si="22"/>
        <v>#</v>
      </c>
      <c r="C44" s="17" t="s">
        <v>262</v>
      </c>
      <c r="D44" s="18">
        <v>1988</v>
      </c>
      <c r="E44" s="19">
        <f>ROUND(F44+IF('Men''s Epée'!$A$3=1,G44,0)+LARGE($S44:$Y44,1)+LARGE($S44:$Y44,2),0)</f>
        <v>395</v>
      </c>
      <c r="F44" s="20"/>
      <c r="G44" s="21"/>
      <c r="H44" s="21">
        <v>21</v>
      </c>
      <c r="I44" s="22">
        <f>IF(OR('Men''s Epée'!$A$3=1,'Men''s Epée'!$S$3=TRUE),IF(OR(H44&gt;=49,ISNUMBER(H44)=FALSE),0,VLOOKUP(H44,PointTable,I$3,TRUE)),0)</f>
        <v>395</v>
      </c>
      <c r="J44" s="21" t="s">
        <v>5</v>
      </c>
      <c r="K44" s="22">
        <f>IF(OR('Men''s Epée'!$A$3=1,'Men''s Epée'!$T$3=TRUE),IF(OR(J44&gt;=49,ISNUMBER(J44)=FALSE),0,VLOOKUP(J44,PointTable,K$3,TRUE)),0)</f>
        <v>0</v>
      </c>
      <c r="L44" s="21" t="s">
        <v>5</v>
      </c>
      <c r="M44" s="22">
        <f>IF(OR('Men''s Epée'!$A$3=1,'Men''s Epée'!$U$3=TRUE),IF(OR(L44&gt;=49,ISNUMBER(L44)=FALSE),0,VLOOKUP(L44,PointTable,M$3,TRUE)),0)</f>
        <v>0</v>
      </c>
      <c r="N44" s="23"/>
      <c r="O44" s="23"/>
      <c r="P44" s="23"/>
      <c r="Q44" s="24"/>
      <c r="S44" s="25">
        <f t="shared" si="23"/>
        <v>395</v>
      </c>
      <c r="T44" s="25">
        <f t="shared" si="24"/>
        <v>0</v>
      </c>
      <c r="U44" s="25">
        <f t="shared" si="25"/>
        <v>0</v>
      </c>
      <c r="V44" s="25">
        <f>IF(OR('Men''s Epée'!$A$3=1,N44&gt;0),ABS(N44),0)</f>
        <v>0</v>
      </c>
      <c r="W44" s="25">
        <f>IF(OR('Men''s Epée'!$A$3=1,O44&gt;0),ABS(O44),0)</f>
        <v>0</v>
      </c>
      <c r="X44" s="25">
        <f>IF(OR('Men''s Epée'!$A$3=1,P44&gt;0),ABS(P44),0)</f>
        <v>0</v>
      </c>
      <c r="Y44" s="25">
        <f>IF(OR('Men''s Epée'!$A$3=1,Q44&gt;0),ABS(Q44),0)</f>
        <v>0</v>
      </c>
      <c r="AA44" s="12">
        <f>IF('Men''s Epée'!$S$3=TRUE,I44,0)</f>
        <v>395</v>
      </c>
      <c r="AB44" s="12">
        <f>IF('Men''s Epée'!$T$3=TRUE,K44,0)</f>
        <v>0</v>
      </c>
      <c r="AC44" s="12">
        <f>IF('Men''s Epée'!$U$3=TRUE,M44,0)</f>
        <v>0</v>
      </c>
      <c r="AD44" s="26">
        <f t="shared" si="26"/>
        <v>0</v>
      </c>
      <c r="AE44" s="26">
        <f t="shared" si="27"/>
        <v>0</v>
      </c>
      <c r="AF44" s="26">
        <f t="shared" si="28"/>
        <v>0</v>
      </c>
      <c r="AG44" s="26">
        <f t="shared" si="29"/>
        <v>0</v>
      </c>
      <c r="AH44" s="12">
        <f t="shared" si="6"/>
        <v>395</v>
      </c>
    </row>
    <row r="45" spans="1:34" ht="13.5">
      <c r="A45" s="16" t="str">
        <f t="shared" si="4"/>
        <v>42</v>
      </c>
      <c r="B45" s="16" t="str">
        <f t="shared" si="22"/>
        <v>#</v>
      </c>
      <c r="C45" s="17" t="s">
        <v>208</v>
      </c>
      <c r="D45" s="18">
        <v>1985</v>
      </c>
      <c r="E45" s="19">
        <f>ROUND(F45+IF('Men''s Epée'!$A$3=1,G45,0)+LARGE($S45:$Y45,1)+LARGE($S45:$Y45,2),0)</f>
        <v>385</v>
      </c>
      <c r="F45" s="20"/>
      <c r="G45" s="21"/>
      <c r="H45" s="21" t="s">
        <v>5</v>
      </c>
      <c r="I45" s="22">
        <f>IF(OR('Men''s Epée'!$A$3=1,'Men''s Epée'!$S$3=TRUE),IF(OR(H45&gt;=49,ISNUMBER(H45)=FALSE),0,VLOOKUP(H45,PointTable,I$3,TRUE)),0)</f>
        <v>0</v>
      </c>
      <c r="J45" s="21">
        <v>23</v>
      </c>
      <c r="K45" s="22">
        <f>IF(OR('Men''s Epée'!$A$3=1,'Men''s Epée'!$T$3=TRUE),IF(OR(J45&gt;=49,ISNUMBER(J45)=FALSE),0,VLOOKUP(J45,PointTable,K$3,TRUE)),0)</f>
        <v>385</v>
      </c>
      <c r="L45" s="21" t="s">
        <v>5</v>
      </c>
      <c r="M45" s="22">
        <f>IF(OR('Men''s Epée'!$A$3=1,'Men''s Epée'!$U$3=TRUE),IF(OR(L45&gt;=49,ISNUMBER(L45)=FALSE),0,VLOOKUP(L45,PointTable,M$3,TRUE)),0)</f>
        <v>0</v>
      </c>
      <c r="N45" s="23"/>
      <c r="O45" s="23"/>
      <c r="P45" s="23"/>
      <c r="Q45" s="24"/>
      <c r="S45" s="25">
        <f t="shared" si="23"/>
        <v>0</v>
      </c>
      <c r="T45" s="25">
        <f t="shared" si="24"/>
        <v>385</v>
      </c>
      <c r="U45" s="25">
        <f t="shared" si="25"/>
        <v>0</v>
      </c>
      <c r="V45" s="25">
        <f>IF(OR('Men''s Epée'!$A$3=1,N45&gt;0),ABS(N45),0)</f>
        <v>0</v>
      </c>
      <c r="W45" s="25">
        <f>IF(OR('Men''s Epée'!$A$3=1,O45&gt;0),ABS(O45),0)</f>
        <v>0</v>
      </c>
      <c r="X45" s="25">
        <f>IF(OR('Men''s Epée'!$A$3=1,P45&gt;0),ABS(P45),0)</f>
        <v>0</v>
      </c>
      <c r="Y45" s="25">
        <f>IF(OR('Men''s Epée'!$A$3=1,Q45&gt;0),ABS(Q45),0)</f>
        <v>0</v>
      </c>
      <c r="AA45" s="12">
        <f>IF('Men''s Epée'!$S$3=TRUE,I45,0)</f>
        <v>0</v>
      </c>
      <c r="AB45" s="12">
        <f>IF('Men''s Epée'!$T$3=TRUE,K45,0)</f>
        <v>385</v>
      </c>
      <c r="AC45" s="12">
        <f>IF('Men''s Epée'!$U$3=TRUE,M45,0)</f>
        <v>0</v>
      </c>
      <c r="AD45" s="26">
        <f t="shared" si="26"/>
        <v>0</v>
      </c>
      <c r="AE45" s="26">
        <f t="shared" si="27"/>
        <v>0</v>
      </c>
      <c r="AF45" s="26">
        <f t="shared" si="28"/>
        <v>0</v>
      </c>
      <c r="AG45" s="26">
        <f t="shared" si="29"/>
        <v>0</v>
      </c>
      <c r="AH45" s="12">
        <f t="shared" si="6"/>
        <v>385</v>
      </c>
    </row>
    <row r="46" spans="1:34" ht="13.5">
      <c r="A46" s="16" t="str">
        <f t="shared" si="4"/>
        <v>43</v>
      </c>
      <c r="B46" s="16" t="str">
        <f t="shared" si="22"/>
        <v>#</v>
      </c>
      <c r="C46" s="17" t="s">
        <v>298</v>
      </c>
      <c r="D46" s="18">
        <v>1984</v>
      </c>
      <c r="E46" s="19">
        <f>ROUND(F46+IF('Men''s Epée'!$A$3=1,G46,0)+LARGE($S46:$Y46,1)+LARGE($S46:$Y46,2),0)</f>
        <v>380</v>
      </c>
      <c r="F46" s="20"/>
      <c r="G46" s="21"/>
      <c r="H46" s="21">
        <v>24</v>
      </c>
      <c r="I46" s="22">
        <f>IF(OR('Men''s Epée'!$A$3=1,'Men''s Epée'!$S$3=TRUE),IF(OR(H46&gt;=49,ISNUMBER(H46)=FALSE),0,VLOOKUP(H46,PointTable,I$3,TRUE)),0)</f>
        <v>380</v>
      </c>
      <c r="J46" s="21" t="s">
        <v>5</v>
      </c>
      <c r="K46" s="22">
        <f>IF(OR('Men''s Epée'!$A$3=1,'Men''s Epée'!$T$3=TRUE),IF(OR(J46&gt;=49,ISNUMBER(J46)=FALSE),0,VLOOKUP(J46,PointTable,K$3,TRUE)),0)</f>
        <v>0</v>
      </c>
      <c r="L46" s="21" t="s">
        <v>5</v>
      </c>
      <c r="M46" s="22">
        <f>IF(OR('Men''s Epée'!$A$3=1,'Men''s Epée'!$U$3=TRUE),IF(OR(L46&gt;=49,ISNUMBER(L46)=FALSE),0,VLOOKUP(L46,PointTable,M$3,TRUE)),0)</f>
        <v>0</v>
      </c>
      <c r="N46" s="23"/>
      <c r="O46" s="23"/>
      <c r="P46" s="23"/>
      <c r="Q46" s="24"/>
      <c r="S46" s="25">
        <f t="shared" si="23"/>
        <v>380</v>
      </c>
      <c r="T46" s="25">
        <f t="shared" si="24"/>
        <v>0</v>
      </c>
      <c r="U46" s="25">
        <f t="shared" si="25"/>
        <v>0</v>
      </c>
      <c r="V46" s="25">
        <f>IF(OR('Men''s Epée'!$A$3=1,N46&gt;0),ABS(N46),0)</f>
        <v>0</v>
      </c>
      <c r="W46" s="25">
        <f>IF(OR('Men''s Epée'!$A$3=1,O46&gt;0),ABS(O46),0)</f>
        <v>0</v>
      </c>
      <c r="X46" s="25">
        <f>IF(OR('Men''s Epée'!$A$3=1,P46&gt;0),ABS(P46),0)</f>
        <v>0</v>
      </c>
      <c r="Y46" s="25">
        <f>IF(OR('Men''s Epée'!$A$3=1,Q46&gt;0),ABS(Q46),0)</f>
        <v>0</v>
      </c>
      <c r="AA46" s="12">
        <f>IF('Men''s Epée'!$S$3=TRUE,I46,0)</f>
        <v>380</v>
      </c>
      <c r="AB46" s="12">
        <f>IF('Men''s Epée'!$T$3=TRUE,K46,0)</f>
        <v>0</v>
      </c>
      <c r="AC46" s="12">
        <f>IF('Men''s Epée'!$U$3=TRUE,M46,0)</f>
        <v>0</v>
      </c>
      <c r="AD46" s="26">
        <f t="shared" si="26"/>
        <v>0</v>
      </c>
      <c r="AE46" s="26">
        <f t="shared" si="27"/>
        <v>0</v>
      </c>
      <c r="AF46" s="26">
        <f t="shared" si="28"/>
        <v>0</v>
      </c>
      <c r="AG46" s="26">
        <f t="shared" si="29"/>
        <v>0</v>
      </c>
      <c r="AH46" s="12">
        <f t="shared" si="6"/>
        <v>380</v>
      </c>
    </row>
    <row r="47" spans="1:34" ht="13.5">
      <c r="A47" s="16" t="str">
        <f t="shared" si="4"/>
        <v>44</v>
      </c>
      <c r="B47" s="16">
        <f t="shared" si="22"/>
      </c>
      <c r="C47" s="17" t="s">
        <v>392</v>
      </c>
      <c r="D47" s="18">
        <v>1966</v>
      </c>
      <c r="E47" s="19">
        <f>ROUND(F47+IF('Men''s Epée'!$A$3=1,G47,0)+LARGE($S47:$Y47,1)+LARGE($S47:$Y47,2),0)</f>
        <v>335</v>
      </c>
      <c r="F47" s="20"/>
      <c r="G47" s="21"/>
      <c r="H47" s="21" t="s">
        <v>5</v>
      </c>
      <c r="I47" s="22">
        <f>IF(OR('Men''s Epée'!$A$3=1,'Men''s Epée'!$S$3=TRUE),IF(OR(H47&gt;=49,ISNUMBER(H47)=FALSE),0,VLOOKUP(H47,PointTable,I$3,TRUE)),0)</f>
        <v>0</v>
      </c>
      <c r="J47" s="21" t="s">
        <v>5</v>
      </c>
      <c r="K47" s="22">
        <f>IF(OR('Men''s Epée'!$A$3=1,'Men''s Epée'!$T$3=TRUE),IF(OR(J47&gt;=49,ISNUMBER(J47)=FALSE),0,VLOOKUP(J47,PointTable,K$3,TRUE)),0)</f>
        <v>0</v>
      </c>
      <c r="L47" s="21">
        <v>20</v>
      </c>
      <c r="M47" s="22">
        <f>IF(OR('Men''s Epée'!$A$3=1,'Men''s Epée'!$U$3=TRUE),IF(OR(L47&gt;=49,ISNUMBER(L47)=FALSE),0,VLOOKUP(L47,PointTable,M$3,TRUE)),0)</f>
        <v>335</v>
      </c>
      <c r="N47" s="23"/>
      <c r="O47" s="23"/>
      <c r="P47" s="23"/>
      <c r="Q47" s="24"/>
      <c r="S47" s="25">
        <f t="shared" si="23"/>
        <v>0</v>
      </c>
      <c r="T47" s="25">
        <f t="shared" si="24"/>
        <v>0</v>
      </c>
      <c r="U47" s="25">
        <f t="shared" si="25"/>
        <v>335</v>
      </c>
      <c r="V47" s="25">
        <f>IF(OR('Men''s Epée'!$A$3=1,N47&gt;0),ABS(N47),0)</f>
        <v>0</v>
      </c>
      <c r="W47" s="25">
        <f>IF(OR('Men''s Epée'!$A$3=1,O47&gt;0),ABS(O47),0)</f>
        <v>0</v>
      </c>
      <c r="X47" s="25">
        <f>IF(OR('Men''s Epée'!$A$3=1,P47&gt;0),ABS(P47),0)</f>
        <v>0</v>
      </c>
      <c r="Y47" s="25">
        <f>IF(OR('Men''s Epée'!$A$3=1,Q47&gt;0),ABS(Q47),0)</f>
        <v>0</v>
      </c>
      <c r="AA47" s="12">
        <f>IF('Men''s Epée'!$S$3=TRUE,I47,0)</f>
        <v>0</v>
      </c>
      <c r="AB47" s="12">
        <f>IF('Men''s Epée'!$T$3=TRUE,K47,0)</f>
        <v>0</v>
      </c>
      <c r="AC47" s="12">
        <f>IF('Men''s Epée'!$U$3=TRUE,M47,0)</f>
        <v>335</v>
      </c>
      <c r="AD47" s="26">
        <f t="shared" si="26"/>
        <v>0</v>
      </c>
      <c r="AE47" s="26">
        <f t="shared" si="27"/>
        <v>0</v>
      </c>
      <c r="AF47" s="26">
        <f t="shared" si="28"/>
        <v>0</v>
      </c>
      <c r="AG47" s="26">
        <f t="shared" si="29"/>
        <v>0</v>
      </c>
      <c r="AH47" s="12">
        <f t="shared" si="6"/>
        <v>335</v>
      </c>
    </row>
    <row r="48" spans="1:34" ht="13.5">
      <c r="A48" s="16" t="str">
        <f t="shared" si="4"/>
        <v>45</v>
      </c>
      <c r="B48" s="16" t="str">
        <f t="shared" si="22"/>
        <v>#</v>
      </c>
      <c r="C48" s="17" t="s">
        <v>263</v>
      </c>
      <c r="D48" s="18">
        <v>1985</v>
      </c>
      <c r="E48" s="19">
        <f>ROUND(F48+IF('Men''s Epée'!$A$3=1,G48,0)+LARGE($S48:$Y48,1)+LARGE($S48:$Y48,2),0)</f>
        <v>303</v>
      </c>
      <c r="F48" s="20"/>
      <c r="G48" s="21"/>
      <c r="H48" s="21">
        <v>27.5</v>
      </c>
      <c r="I48" s="22">
        <f>IF(OR('Men''s Epée'!$A$3=1,'Men''s Epée'!$S$3=TRUE),IF(OR(H48&gt;=49,ISNUMBER(H48)=FALSE),0,VLOOKUP(H48,PointTable,I$3,TRUE)),0)</f>
        <v>302.5</v>
      </c>
      <c r="J48" s="21" t="s">
        <v>5</v>
      </c>
      <c r="K48" s="22">
        <f>IF(OR('Men''s Epée'!$A$3=1,'Men''s Epée'!$T$3=TRUE),IF(OR(J48&gt;=49,ISNUMBER(J48)=FALSE),0,VLOOKUP(J48,PointTable,K$3,TRUE)),0)</f>
        <v>0</v>
      </c>
      <c r="L48" s="21" t="s">
        <v>5</v>
      </c>
      <c r="M48" s="22">
        <f>IF(OR('Men''s Epée'!$A$3=1,'Men''s Epée'!$U$3=TRUE),IF(OR(L48&gt;=49,ISNUMBER(L48)=FALSE),0,VLOOKUP(L48,PointTable,M$3,TRUE)),0)</f>
        <v>0</v>
      </c>
      <c r="N48" s="23"/>
      <c r="O48" s="23"/>
      <c r="P48" s="23"/>
      <c r="Q48" s="24"/>
      <c r="S48" s="25">
        <f t="shared" si="23"/>
        <v>302.5</v>
      </c>
      <c r="T48" s="25">
        <f t="shared" si="24"/>
        <v>0</v>
      </c>
      <c r="U48" s="25">
        <f t="shared" si="25"/>
        <v>0</v>
      </c>
      <c r="V48" s="25">
        <f>IF(OR('Men''s Epée'!$A$3=1,N48&gt;0),ABS(N48),0)</f>
        <v>0</v>
      </c>
      <c r="W48" s="25">
        <f>IF(OR('Men''s Epée'!$A$3=1,O48&gt;0),ABS(O48),0)</f>
        <v>0</v>
      </c>
      <c r="X48" s="25">
        <f>IF(OR('Men''s Epée'!$A$3=1,P48&gt;0),ABS(P48),0)</f>
        <v>0</v>
      </c>
      <c r="Y48" s="25">
        <f>IF(OR('Men''s Epée'!$A$3=1,Q48&gt;0),ABS(Q48),0)</f>
        <v>0</v>
      </c>
      <c r="AA48" s="12">
        <f>IF('Men''s Epée'!$S$3=TRUE,I48,0)</f>
        <v>302.5</v>
      </c>
      <c r="AB48" s="12">
        <f>IF('Men''s Epée'!$T$3=TRUE,K48,0)</f>
        <v>0</v>
      </c>
      <c r="AC48" s="12">
        <f>IF('Men''s Epée'!$U$3=TRUE,M48,0)</f>
        <v>0</v>
      </c>
      <c r="AD48" s="26">
        <f t="shared" si="26"/>
        <v>0</v>
      </c>
      <c r="AE48" s="26">
        <f t="shared" si="27"/>
        <v>0</v>
      </c>
      <c r="AF48" s="26">
        <f t="shared" si="28"/>
        <v>0</v>
      </c>
      <c r="AG48" s="26">
        <f t="shared" si="29"/>
        <v>0</v>
      </c>
      <c r="AH48" s="12">
        <f aca="true" t="shared" si="30" ref="AH48:AH64">LARGE(AA48:AG48,1)+LARGE(AA48:AG48,2)+F48</f>
        <v>302.5</v>
      </c>
    </row>
    <row r="49" spans="1:34" ht="13.5">
      <c r="A49" s="16" t="str">
        <f t="shared" si="4"/>
        <v>46</v>
      </c>
      <c r="B49" s="16" t="str">
        <f t="shared" si="22"/>
        <v>#</v>
      </c>
      <c r="C49" s="17" t="s">
        <v>207</v>
      </c>
      <c r="D49" s="18">
        <v>1984</v>
      </c>
      <c r="E49" s="19">
        <f>ROUND(F49+IF('Men''s Epée'!$A$3=1,G49,0)+LARGE($S49:$Y49,1)+LARGE($S49:$Y49,2),0)</f>
        <v>293</v>
      </c>
      <c r="F49" s="20"/>
      <c r="G49" s="21"/>
      <c r="H49" s="21" t="s">
        <v>5</v>
      </c>
      <c r="I49" s="22">
        <f>IF(OR('Men''s Epée'!$A$3=1,'Men''s Epée'!$S$3=TRUE),IF(OR(H49&gt;=49,ISNUMBER(H49)=FALSE),0,VLOOKUP(H49,PointTable,I$3,TRUE)),0)</f>
        <v>0</v>
      </c>
      <c r="J49" s="21">
        <v>29.5</v>
      </c>
      <c r="K49" s="22">
        <f>IF(OR('Men''s Epée'!$A$3=1,'Men''s Epée'!$T$3=TRUE),IF(OR(J49&gt;=49,ISNUMBER(J49)=FALSE),0,VLOOKUP(J49,PointTable,K$3,TRUE)),0)</f>
        <v>292.5</v>
      </c>
      <c r="L49" s="21" t="s">
        <v>5</v>
      </c>
      <c r="M49" s="22">
        <f>IF(OR('Men''s Epée'!$A$3=1,'Men''s Epée'!$U$3=TRUE),IF(OR(L49&gt;=49,ISNUMBER(L49)=FALSE),0,VLOOKUP(L49,PointTable,M$3,TRUE)),0)</f>
        <v>0</v>
      </c>
      <c r="N49" s="23"/>
      <c r="O49" s="23"/>
      <c r="P49" s="23"/>
      <c r="Q49" s="24"/>
      <c r="S49" s="25">
        <f t="shared" si="23"/>
        <v>0</v>
      </c>
      <c r="T49" s="25">
        <f t="shared" si="24"/>
        <v>292.5</v>
      </c>
      <c r="U49" s="25">
        <f t="shared" si="25"/>
        <v>0</v>
      </c>
      <c r="V49" s="25">
        <f>IF(OR('Men''s Epée'!$A$3=1,N49&gt;0),ABS(N49),0)</f>
        <v>0</v>
      </c>
      <c r="W49" s="25">
        <f>IF(OR('Men''s Epée'!$A$3=1,O49&gt;0),ABS(O49),0)</f>
        <v>0</v>
      </c>
      <c r="X49" s="25">
        <f>IF(OR('Men''s Epée'!$A$3=1,P49&gt;0),ABS(P49),0)</f>
        <v>0</v>
      </c>
      <c r="Y49" s="25">
        <f>IF(OR('Men''s Epée'!$A$3=1,Q49&gt;0),ABS(Q49),0)</f>
        <v>0</v>
      </c>
      <c r="AA49" s="12">
        <f>IF('Men''s Epée'!$S$3=TRUE,I49,0)</f>
        <v>0</v>
      </c>
      <c r="AB49" s="12">
        <f>IF('Men''s Epée'!$T$3=TRUE,K49,0)</f>
        <v>292.5</v>
      </c>
      <c r="AC49" s="12">
        <f>IF('Men''s Epée'!$U$3=TRUE,M49,0)</f>
        <v>0</v>
      </c>
      <c r="AD49" s="26">
        <f t="shared" si="26"/>
        <v>0</v>
      </c>
      <c r="AE49" s="26">
        <f t="shared" si="27"/>
        <v>0</v>
      </c>
      <c r="AF49" s="26">
        <f t="shared" si="28"/>
        <v>0</v>
      </c>
      <c r="AG49" s="26">
        <f t="shared" si="29"/>
        <v>0</v>
      </c>
      <c r="AH49" s="12">
        <f t="shared" si="30"/>
        <v>292.5</v>
      </c>
    </row>
    <row r="50" spans="1:34" ht="13.5">
      <c r="A50" s="16" t="str">
        <f t="shared" si="4"/>
        <v>47</v>
      </c>
      <c r="B50" s="16" t="str">
        <f t="shared" si="22"/>
        <v>#</v>
      </c>
      <c r="C50" s="17" t="s">
        <v>176</v>
      </c>
      <c r="D50" s="18">
        <v>1986</v>
      </c>
      <c r="E50" s="19">
        <f>ROUND(F50+IF('Men''s Epée'!$A$3=1,G50,0)+LARGE($S50:$Y50,1)+LARGE($S50:$Y50,2),0)</f>
        <v>270</v>
      </c>
      <c r="F50" s="20"/>
      <c r="G50" s="21"/>
      <c r="H50" s="21">
        <v>34</v>
      </c>
      <c r="I50" s="22">
        <f>IF(OR('Men''s Epée'!$A$3=1,'Men''s Epée'!$S$3=TRUE),IF(OR(H50&gt;=49,ISNUMBER(H50)=FALSE),0,VLOOKUP(H50,PointTable,I$3,TRUE)),0)</f>
        <v>270</v>
      </c>
      <c r="J50" s="21" t="s">
        <v>5</v>
      </c>
      <c r="K50" s="22">
        <f>IF(OR('Men''s Epée'!$A$3=1,'Men''s Epée'!$T$3=TRUE),IF(OR(J50&gt;=49,ISNUMBER(J50)=FALSE),0,VLOOKUP(J50,PointTable,K$3,TRUE)),0)</f>
        <v>0</v>
      </c>
      <c r="L50" s="21" t="s">
        <v>5</v>
      </c>
      <c r="M50" s="22">
        <f>IF(OR('Men''s Epée'!$A$3=1,'Men''s Epée'!$U$3=TRUE),IF(OR(L50&gt;=49,ISNUMBER(L50)=FALSE),0,VLOOKUP(L50,PointTable,M$3,TRUE)),0)</f>
        <v>0</v>
      </c>
      <c r="N50" s="23"/>
      <c r="O50" s="23"/>
      <c r="P50" s="23"/>
      <c r="Q50" s="24"/>
      <c r="S50" s="25">
        <f t="shared" si="23"/>
        <v>270</v>
      </c>
      <c r="T50" s="25">
        <f t="shared" si="24"/>
        <v>0</v>
      </c>
      <c r="U50" s="25">
        <f t="shared" si="25"/>
        <v>0</v>
      </c>
      <c r="V50" s="25">
        <f>IF(OR('Men''s Epée'!$A$3=1,N50&gt;0),ABS(N50),0)</f>
        <v>0</v>
      </c>
      <c r="W50" s="25">
        <f>IF(OR('Men''s Epée'!$A$3=1,O50&gt;0),ABS(O50),0)</f>
        <v>0</v>
      </c>
      <c r="X50" s="25">
        <f>IF(OR('Men''s Epée'!$A$3=1,P50&gt;0),ABS(P50),0)</f>
        <v>0</v>
      </c>
      <c r="Y50" s="25">
        <f>IF(OR('Men''s Epée'!$A$3=1,Q50&gt;0),ABS(Q50),0)</f>
        <v>0</v>
      </c>
      <c r="AA50" s="12">
        <f>IF('Men''s Epée'!$S$3=TRUE,I50,0)</f>
        <v>270</v>
      </c>
      <c r="AB50" s="12">
        <f>IF('Men''s Epée'!$T$3=TRUE,K50,0)</f>
        <v>0</v>
      </c>
      <c r="AC50" s="12">
        <f>IF('Men''s Epée'!$U$3=TRUE,M50,0)</f>
        <v>0</v>
      </c>
      <c r="AD50" s="26">
        <f t="shared" si="26"/>
        <v>0</v>
      </c>
      <c r="AE50" s="26">
        <f t="shared" si="27"/>
        <v>0</v>
      </c>
      <c r="AF50" s="26">
        <f t="shared" si="28"/>
        <v>0</v>
      </c>
      <c r="AG50" s="26">
        <f t="shared" si="29"/>
        <v>0</v>
      </c>
      <c r="AH50" s="12">
        <f t="shared" si="30"/>
        <v>270</v>
      </c>
    </row>
    <row r="51" spans="1:34" ht="13.5">
      <c r="A51" s="16" t="str">
        <f t="shared" si="4"/>
        <v>48</v>
      </c>
      <c r="B51" s="16" t="str">
        <f t="shared" si="22"/>
        <v>#</v>
      </c>
      <c r="C51" s="17" t="s">
        <v>172</v>
      </c>
      <c r="D51" s="18">
        <v>1984</v>
      </c>
      <c r="E51" s="19">
        <f>ROUND(F51+IF('Men''s Epée'!$A$3=1,G51,0)+LARGE($S51:$Y51,1)+LARGE($S51:$Y51,2),0)</f>
        <v>265</v>
      </c>
      <c r="F51" s="20"/>
      <c r="G51" s="21"/>
      <c r="H51" s="21">
        <v>35</v>
      </c>
      <c r="I51" s="22">
        <f>IF(OR('Men''s Epée'!$A$3=1,'Men''s Epée'!$S$3=TRUE),IF(OR(H51&gt;=49,ISNUMBER(H51)=FALSE),0,VLOOKUP(H51,PointTable,I$3,TRUE)),0)</f>
        <v>265</v>
      </c>
      <c r="J51" s="21" t="s">
        <v>5</v>
      </c>
      <c r="K51" s="22">
        <f>IF(OR('Men''s Epée'!$A$3=1,'Men''s Epée'!$T$3=TRUE),IF(OR(J51&gt;=49,ISNUMBER(J51)=FALSE),0,VLOOKUP(J51,PointTable,K$3,TRUE)),0)</f>
        <v>0</v>
      </c>
      <c r="L51" s="21" t="s">
        <v>5</v>
      </c>
      <c r="M51" s="22">
        <f>IF(OR('Men''s Epée'!$A$3=1,'Men''s Epée'!$U$3=TRUE),IF(OR(L51&gt;=49,ISNUMBER(L51)=FALSE),0,VLOOKUP(L51,PointTable,M$3,TRUE)),0)</f>
        <v>0</v>
      </c>
      <c r="N51" s="23"/>
      <c r="O51" s="23"/>
      <c r="P51" s="23"/>
      <c r="Q51" s="24"/>
      <c r="S51" s="25">
        <f t="shared" si="23"/>
        <v>265</v>
      </c>
      <c r="T51" s="25">
        <f t="shared" si="24"/>
        <v>0</v>
      </c>
      <c r="U51" s="25">
        <f t="shared" si="25"/>
        <v>0</v>
      </c>
      <c r="V51" s="25">
        <f>IF(OR('Men''s Epée'!$A$3=1,N51&gt;0),ABS(N51),0)</f>
        <v>0</v>
      </c>
      <c r="W51" s="25">
        <f>IF(OR('Men''s Epée'!$A$3=1,O51&gt;0),ABS(O51),0)</f>
        <v>0</v>
      </c>
      <c r="X51" s="25">
        <f>IF(OR('Men''s Epée'!$A$3=1,P51&gt;0),ABS(P51),0)</f>
        <v>0</v>
      </c>
      <c r="Y51" s="25">
        <f>IF(OR('Men''s Epée'!$A$3=1,Q51&gt;0),ABS(Q51),0)</f>
        <v>0</v>
      </c>
      <c r="AA51" s="12">
        <f>IF('Men''s Epée'!$S$3=TRUE,I51,0)</f>
        <v>265</v>
      </c>
      <c r="AB51" s="12">
        <f>IF('Men''s Epée'!$T$3=TRUE,K51,0)</f>
        <v>0</v>
      </c>
      <c r="AC51" s="12">
        <f>IF('Men''s Epée'!$U$3=TRUE,M51,0)</f>
        <v>0</v>
      </c>
      <c r="AD51" s="26">
        <f t="shared" si="26"/>
        <v>0</v>
      </c>
      <c r="AE51" s="26">
        <f t="shared" si="27"/>
        <v>0</v>
      </c>
      <c r="AF51" s="26">
        <f t="shared" si="28"/>
        <v>0</v>
      </c>
      <c r="AG51" s="26">
        <f t="shared" si="29"/>
        <v>0</v>
      </c>
      <c r="AH51" s="12">
        <f t="shared" si="30"/>
        <v>265</v>
      </c>
    </row>
    <row r="52" spans="1:34" ht="13.5">
      <c r="A52" s="16" t="str">
        <f t="shared" si="4"/>
        <v>49</v>
      </c>
      <c r="B52" s="16">
        <f t="shared" si="22"/>
      </c>
      <c r="C52" s="17" t="s">
        <v>336</v>
      </c>
      <c r="D52" s="18">
        <v>1982</v>
      </c>
      <c r="E52" s="19">
        <f>ROUND(F52+IF('Men''s Epée'!$A$3=1,G52,0)+LARGE($S52:$Y52,1)+LARGE($S52:$Y52,2),0)</f>
        <v>260</v>
      </c>
      <c r="F52" s="20"/>
      <c r="G52" s="21"/>
      <c r="H52" s="21" t="s">
        <v>5</v>
      </c>
      <c r="I52" s="22">
        <f>IF(OR('Men''s Epée'!$A$3=1,'Men''s Epée'!$S$3=TRUE),IF(OR(H52&gt;=49,ISNUMBER(H52)=FALSE),0,VLOOKUP(H52,PointTable,I$3,TRUE)),0)</f>
        <v>0</v>
      </c>
      <c r="J52" s="21">
        <v>36</v>
      </c>
      <c r="K52" s="22">
        <f>IF(OR('Men''s Epée'!$A$3=1,'Men''s Epée'!$T$3=TRUE),IF(OR(J52&gt;=49,ISNUMBER(J52)=FALSE),0,VLOOKUP(J52,PointTable,K$3,TRUE)),0)</f>
        <v>260</v>
      </c>
      <c r="L52" s="21" t="s">
        <v>5</v>
      </c>
      <c r="M52" s="22">
        <f>IF(OR('Men''s Epée'!$A$3=1,'Men''s Epée'!$U$3=TRUE),IF(OR(L52&gt;=49,ISNUMBER(L52)=FALSE),0,VLOOKUP(L52,PointTable,M$3,TRUE)),0)</f>
        <v>0</v>
      </c>
      <c r="N52" s="23"/>
      <c r="O52" s="23"/>
      <c r="P52" s="23"/>
      <c r="Q52" s="24"/>
      <c r="S52" s="25">
        <f t="shared" si="23"/>
        <v>0</v>
      </c>
      <c r="T52" s="25">
        <f t="shared" si="24"/>
        <v>260</v>
      </c>
      <c r="U52" s="25">
        <f t="shared" si="25"/>
        <v>0</v>
      </c>
      <c r="V52" s="25">
        <f>IF(OR('Men''s Epée'!$A$3=1,N52&gt;0),ABS(N52),0)</f>
        <v>0</v>
      </c>
      <c r="W52" s="25">
        <f>IF(OR('Men''s Epée'!$A$3=1,O52&gt;0),ABS(O52),0)</f>
        <v>0</v>
      </c>
      <c r="X52" s="25">
        <f>IF(OR('Men''s Epée'!$A$3=1,P52&gt;0),ABS(P52),0)</f>
        <v>0</v>
      </c>
      <c r="Y52" s="25">
        <f>IF(OR('Men''s Epée'!$A$3=1,Q52&gt;0),ABS(Q52),0)</f>
        <v>0</v>
      </c>
      <c r="AA52" s="12">
        <f>IF('Men''s Epée'!$S$3=TRUE,I52,0)</f>
        <v>0</v>
      </c>
      <c r="AB52" s="12">
        <f>IF('Men''s Epée'!$T$3=TRUE,K52,0)</f>
        <v>260</v>
      </c>
      <c r="AC52" s="12">
        <f>IF('Men''s Epée'!$U$3=TRUE,M52,0)</f>
        <v>0</v>
      </c>
      <c r="AD52" s="26">
        <f t="shared" si="26"/>
        <v>0</v>
      </c>
      <c r="AE52" s="26">
        <f t="shared" si="27"/>
        <v>0</v>
      </c>
      <c r="AF52" s="26">
        <f t="shared" si="28"/>
        <v>0</v>
      </c>
      <c r="AG52" s="26">
        <f t="shared" si="29"/>
        <v>0</v>
      </c>
      <c r="AH52" s="12">
        <f t="shared" si="30"/>
        <v>260</v>
      </c>
    </row>
    <row r="53" spans="1:34" ht="13.5">
      <c r="A53" s="16" t="str">
        <f t="shared" si="4"/>
        <v>50</v>
      </c>
      <c r="B53" s="16">
        <f t="shared" si="22"/>
      </c>
      <c r="C53" s="17" t="s">
        <v>43</v>
      </c>
      <c r="D53" s="18">
        <v>1957</v>
      </c>
      <c r="E53" s="19">
        <f>ROUND(F53+IF('Men''s Epée'!$A$3=1,G53,0)+LARGE($S53:$Y53,1)+LARGE($S53:$Y53,2),0)</f>
        <v>255</v>
      </c>
      <c r="F53" s="20"/>
      <c r="G53" s="21"/>
      <c r="H53" s="21">
        <v>37</v>
      </c>
      <c r="I53" s="22">
        <f>IF(OR('Men''s Epée'!$A$3=1,'Men''s Epée'!$S$3=TRUE),IF(OR(H53&gt;=49,ISNUMBER(H53)=FALSE),0,VLOOKUP(H53,PointTable,I$3,TRUE)),0)</f>
        <v>255</v>
      </c>
      <c r="J53" s="21" t="s">
        <v>5</v>
      </c>
      <c r="K53" s="22">
        <f>IF(OR('Men''s Epée'!$A$3=1,'Men''s Epée'!$T$3=TRUE),IF(OR(J53&gt;=49,ISNUMBER(J53)=FALSE),0,VLOOKUP(J53,PointTable,K$3,TRUE)),0)</f>
        <v>0</v>
      </c>
      <c r="L53" s="21" t="s">
        <v>5</v>
      </c>
      <c r="M53" s="22">
        <f>IF(OR('Men''s Epée'!$A$3=1,'Men''s Epée'!$U$3=TRUE),IF(OR(L53&gt;=49,ISNUMBER(L53)=FALSE),0,VLOOKUP(L53,PointTable,M$3,TRUE)),0)</f>
        <v>0</v>
      </c>
      <c r="N53" s="23"/>
      <c r="O53" s="23"/>
      <c r="P53" s="23"/>
      <c r="Q53" s="24"/>
      <c r="S53" s="25">
        <f t="shared" si="23"/>
        <v>255</v>
      </c>
      <c r="T53" s="25">
        <f t="shared" si="24"/>
        <v>0</v>
      </c>
      <c r="U53" s="25">
        <f t="shared" si="25"/>
        <v>0</v>
      </c>
      <c r="V53" s="25">
        <f>IF(OR('Men''s Epée'!$A$3=1,N53&gt;0),ABS(N53),0)</f>
        <v>0</v>
      </c>
      <c r="W53" s="25">
        <f>IF(OR('Men''s Epée'!$A$3=1,O53&gt;0),ABS(O53),0)</f>
        <v>0</v>
      </c>
      <c r="X53" s="25">
        <f>IF(OR('Men''s Epée'!$A$3=1,P53&gt;0),ABS(P53),0)</f>
        <v>0</v>
      </c>
      <c r="Y53" s="25">
        <f>IF(OR('Men''s Epée'!$A$3=1,Q53&gt;0),ABS(Q53),0)</f>
        <v>0</v>
      </c>
      <c r="AA53" s="12">
        <f>IF('Men''s Epée'!$S$3=TRUE,I53,0)</f>
        <v>255</v>
      </c>
      <c r="AB53" s="12">
        <f>IF('Men''s Epée'!$T$3=TRUE,K53,0)</f>
        <v>0</v>
      </c>
      <c r="AC53" s="12">
        <f>IF('Men''s Epée'!$U$3=TRUE,M53,0)</f>
        <v>0</v>
      </c>
      <c r="AD53" s="26">
        <f t="shared" si="26"/>
        <v>0</v>
      </c>
      <c r="AE53" s="26">
        <f t="shared" si="27"/>
        <v>0</v>
      </c>
      <c r="AF53" s="26">
        <f t="shared" si="28"/>
        <v>0</v>
      </c>
      <c r="AG53" s="26">
        <f t="shared" si="29"/>
        <v>0</v>
      </c>
      <c r="AH53" s="12">
        <f t="shared" si="30"/>
        <v>255</v>
      </c>
    </row>
    <row r="54" spans="1:34" ht="13.5">
      <c r="A54" s="16" t="str">
        <f t="shared" si="4"/>
        <v>51</v>
      </c>
      <c r="B54" s="16">
        <f t="shared" si="22"/>
      </c>
      <c r="C54" s="17" t="s">
        <v>223</v>
      </c>
      <c r="D54" s="18">
        <v>1980</v>
      </c>
      <c r="E54" s="19">
        <f>ROUND(F54+IF('Men''s Epée'!$A$3=1,G54,0)+LARGE($S54:$Y54,1)+LARGE($S54:$Y54,2),0)</f>
        <v>243</v>
      </c>
      <c r="F54" s="20"/>
      <c r="G54" s="21"/>
      <c r="H54" s="21" t="s">
        <v>5</v>
      </c>
      <c r="I54" s="22">
        <f>IF(OR('Men''s Epée'!$A$3=1,'Men''s Epée'!$S$3=TRUE),IF(OR(H54&gt;=49,ISNUMBER(H54)=FALSE),0,VLOOKUP(H54,PointTable,I$3,TRUE)),0)</f>
        <v>0</v>
      </c>
      <c r="J54" s="21">
        <v>39.5</v>
      </c>
      <c r="K54" s="22">
        <f>IF(OR('Men''s Epée'!$A$3=1,'Men''s Epée'!$T$3=TRUE),IF(OR(J54&gt;=49,ISNUMBER(J54)=FALSE),0,VLOOKUP(J54,PointTable,K$3,TRUE)),0)</f>
        <v>242.5</v>
      </c>
      <c r="L54" s="21" t="s">
        <v>5</v>
      </c>
      <c r="M54" s="22">
        <f>IF(OR('Men''s Epée'!$A$3=1,'Men''s Epée'!$U$3=TRUE),IF(OR(L54&gt;=49,ISNUMBER(L54)=FALSE),0,VLOOKUP(L54,PointTable,M$3,TRUE)),0)</f>
        <v>0</v>
      </c>
      <c r="N54" s="23"/>
      <c r="O54" s="23"/>
      <c r="P54" s="23"/>
      <c r="Q54" s="24"/>
      <c r="S54" s="25">
        <f t="shared" si="23"/>
        <v>0</v>
      </c>
      <c r="T54" s="25">
        <f t="shared" si="24"/>
        <v>242.5</v>
      </c>
      <c r="U54" s="25">
        <f t="shared" si="25"/>
        <v>0</v>
      </c>
      <c r="V54" s="25">
        <f>IF(OR('Men''s Epée'!$A$3=1,N54&gt;0),ABS(N54),0)</f>
        <v>0</v>
      </c>
      <c r="W54" s="25">
        <f>IF(OR('Men''s Epée'!$A$3=1,O54&gt;0),ABS(O54),0)</f>
        <v>0</v>
      </c>
      <c r="X54" s="25">
        <f>IF(OR('Men''s Epée'!$A$3=1,P54&gt;0),ABS(P54),0)</f>
        <v>0</v>
      </c>
      <c r="Y54" s="25">
        <f>IF(OR('Men''s Epée'!$A$3=1,Q54&gt;0),ABS(Q54),0)</f>
        <v>0</v>
      </c>
      <c r="AA54" s="12">
        <f>IF('Men''s Epée'!$S$3=TRUE,I54,0)</f>
        <v>0</v>
      </c>
      <c r="AB54" s="12">
        <f>IF('Men''s Epée'!$T$3=TRUE,K54,0)</f>
        <v>242.5</v>
      </c>
      <c r="AC54" s="12">
        <f>IF('Men''s Epée'!$U$3=TRUE,M54,0)</f>
        <v>0</v>
      </c>
      <c r="AD54" s="26">
        <f t="shared" si="26"/>
        <v>0</v>
      </c>
      <c r="AE54" s="26">
        <f t="shared" si="27"/>
        <v>0</v>
      </c>
      <c r="AF54" s="26">
        <f t="shared" si="28"/>
        <v>0</v>
      </c>
      <c r="AG54" s="26">
        <f t="shared" si="29"/>
        <v>0</v>
      </c>
      <c r="AH54" s="12">
        <f t="shared" si="30"/>
        <v>242.5</v>
      </c>
    </row>
    <row r="55" spans="1:34" ht="13.5">
      <c r="A55" s="16" t="str">
        <f t="shared" si="4"/>
        <v>52</v>
      </c>
      <c r="B55" s="16" t="str">
        <f t="shared" si="22"/>
        <v>#</v>
      </c>
      <c r="C55" s="17" t="s">
        <v>330</v>
      </c>
      <c r="D55" s="18">
        <v>1986</v>
      </c>
      <c r="E55" s="19">
        <f>ROUND(F55+IF('Men''s Epée'!$A$3=1,G55,0)+LARGE($S55:$Y55,1)+LARGE($S55:$Y55,2),0)</f>
        <v>235</v>
      </c>
      <c r="F55" s="20"/>
      <c r="G55" s="21"/>
      <c r="H55" s="21" t="s">
        <v>5</v>
      </c>
      <c r="I55" s="22">
        <f>IF(OR('Men''s Epée'!$A$3=1,'Men''s Epée'!$S$3=TRUE),IF(OR(H55&gt;=49,ISNUMBER(H55)=FALSE),0,VLOOKUP(H55,PointTable,I$3,TRUE)),0)</f>
        <v>0</v>
      </c>
      <c r="J55" s="21">
        <v>41</v>
      </c>
      <c r="K55" s="22">
        <f>IF(OR('Men''s Epée'!$A$3=1,'Men''s Epée'!$T$3=TRUE),IF(OR(J55&gt;=49,ISNUMBER(J55)=FALSE),0,VLOOKUP(J55,PointTable,K$3,TRUE)),0)</f>
        <v>235</v>
      </c>
      <c r="L55" s="21" t="s">
        <v>5</v>
      </c>
      <c r="M55" s="22">
        <f>IF(OR('Men''s Epée'!$A$3=1,'Men''s Epée'!$U$3=TRUE),IF(OR(L55&gt;=49,ISNUMBER(L55)=FALSE),0,VLOOKUP(L55,PointTable,M$3,TRUE)),0)</f>
        <v>0</v>
      </c>
      <c r="N55" s="23"/>
      <c r="O55" s="23"/>
      <c r="P55" s="23"/>
      <c r="Q55" s="24"/>
      <c r="S55" s="25">
        <f t="shared" si="23"/>
        <v>0</v>
      </c>
      <c r="T55" s="25">
        <f t="shared" si="24"/>
        <v>235</v>
      </c>
      <c r="U55" s="25">
        <f t="shared" si="25"/>
        <v>0</v>
      </c>
      <c r="V55" s="25">
        <f>IF(OR('Men''s Epée'!$A$3=1,N55&gt;0),ABS(N55),0)</f>
        <v>0</v>
      </c>
      <c r="W55" s="25">
        <f>IF(OR('Men''s Epée'!$A$3=1,O55&gt;0),ABS(O55),0)</f>
        <v>0</v>
      </c>
      <c r="X55" s="25">
        <f>IF(OR('Men''s Epée'!$A$3=1,P55&gt;0),ABS(P55),0)</f>
        <v>0</v>
      </c>
      <c r="Y55" s="25">
        <f>IF(OR('Men''s Epée'!$A$3=1,Q55&gt;0),ABS(Q55),0)</f>
        <v>0</v>
      </c>
      <c r="AA55" s="12">
        <f>IF('Men''s Epée'!$S$3=TRUE,I55,0)</f>
        <v>0</v>
      </c>
      <c r="AB55" s="12">
        <f>IF('Men''s Epée'!$T$3=TRUE,K55,0)</f>
        <v>235</v>
      </c>
      <c r="AC55" s="12">
        <f>IF('Men''s Epée'!$U$3=TRUE,M55,0)</f>
        <v>0</v>
      </c>
      <c r="AD55" s="26">
        <f t="shared" si="26"/>
        <v>0</v>
      </c>
      <c r="AE55" s="26">
        <f t="shared" si="27"/>
        <v>0</v>
      </c>
      <c r="AF55" s="26">
        <f t="shared" si="28"/>
        <v>0</v>
      </c>
      <c r="AG55" s="26">
        <f t="shared" si="29"/>
        <v>0</v>
      </c>
      <c r="AH55" s="12">
        <f t="shared" si="30"/>
        <v>235</v>
      </c>
    </row>
    <row r="56" spans="1:34" ht="13.5">
      <c r="A56" s="16" t="str">
        <f t="shared" si="4"/>
        <v>53</v>
      </c>
      <c r="B56" s="16" t="str">
        <f t="shared" si="22"/>
        <v>#</v>
      </c>
      <c r="C56" s="17" t="s">
        <v>266</v>
      </c>
      <c r="D56" s="18">
        <v>1986</v>
      </c>
      <c r="E56" s="19">
        <f>ROUND(F56+IF('Men''s Epée'!$A$3=1,G56,0)+LARGE($S56:$Y56,1)+LARGE($S56:$Y56,2),0)</f>
        <v>230</v>
      </c>
      <c r="F56" s="20"/>
      <c r="G56" s="21"/>
      <c r="H56" s="21">
        <v>42</v>
      </c>
      <c r="I56" s="22">
        <f>IF(OR('Men''s Epée'!$A$3=1,'Men''s Epée'!$S$3=TRUE),IF(OR(H56&gt;=49,ISNUMBER(H56)=FALSE),0,VLOOKUP(H56,PointTable,I$3,TRUE)),0)</f>
        <v>230</v>
      </c>
      <c r="J56" s="21" t="s">
        <v>5</v>
      </c>
      <c r="K56" s="22">
        <f>IF(OR('Men''s Epée'!$A$3=1,'Men''s Epée'!$T$3=TRUE),IF(OR(J56&gt;=49,ISNUMBER(J56)=FALSE),0,VLOOKUP(J56,PointTable,K$3,TRUE)),0)</f>
        <v>0</v>
      </c>
      <c r="L56" s="21" t="s">
        <v>5</v>
      </c>
      <c r="M56" s="22">
        <f>IF(OR('Men''s Epée'!$A$3=1,'Men''s Epée'!$U$3=TRUE),IF(OR(L56&gt;=49,ISNUMBER(L56)=FALSE),0,VLOOKUP(L56,PointTable,M$3,TRUE)),0)</f>
        <v>0</v>
      </c>
      <c r="N56" s="23"/>
      <c r="O56" s="23"/>
      <c r="P56" s="23"/>
      <c r="Q56" s="24"/>
      <c r="S56" s="25">
        <f t="shared" si="23"/>
        <v>230</v>
      </c>
      <c r="T56" s="25">
        <f t="shared" si="24"/>
        <v>0</v>
      </c>
      <c r="U56" s="25">
        <f t="shared" si="25"/>
        <v>0</v>
      </c>
      <c r="V56" s="25">
        <f>IF(OR('Men''s Epée'!$A$3=1,N56&gt;0),ABS(N56),0)</f>
        <v>0</v>
      </c>
      <c r="W56" s="25">
        <f>IF(OR('Men''s Epée'!$A$3=1,O56&gt;0),ABS(O56),0)</f>
        <v>0</v>
      </c>
      <c r="X56" s="25">
        <f>IF(OR('Men''s Epée'!$A$3=1,P56&gt;0),ABS(P56),0)</f>
        <v>0</v>
      </c>
      <c r="Y56" s="25">
        <f>IF(OR('Men''s Epée'!$A$3=1,Q56&gt;0),ABS(Q56),0)</f>
        <v>0</v>
      </c>
      <c r="AA56" s="12">
        <f>IF('Men''s Epée'!$S$3=TRUE,I56,0)</f>
        <v>230</v>
      </c>
      <c r="AB56" s="12">
        <f>IF('Men''s Epée'!$T$3=TRUE,K56,0)</f>
        <v>0</v>
      </c>
      <c r="AC56" s="12">
        <f>IF('Men''s Epée'!$U$3=TRUE,M56,0)</f>
        <v>0</v>
      </c>
      <c r="AD56" s="26">
        <f t="shared" si="26"/>
        <v>0</v>
      </c>
      <c r="AE56" s="26">
        <f t="shared" si="27"/>
        <v>0</v>
      </c>
      <c r="AF56" s="26">
        <f t="shared" si="28"/>
        <v>0</v>
      </c>
      <c r="AG56" s="26">
        <f t="shared" si="29"/>
        <v>0</v>
      </c>
      <c r="AH56" s="12">
        <f t="shared" si="30"/>
        <v>230</v>
      </c>
    </row>
    <row r="57" spans="1:34" ht="13.5">
      <c r="A57" s="16" t="str">
        <f t="shared" si="4"/>
        <v>54</v>
      </c>
      <c r="B57" s="16">
        <f t="shared" si="22"/>
      </c>
      <c r="C57" s="17" t="s">
        <v>331</v>
      </c>
      <c r="D57" s="18">
        <v>1978</v>
      </c>
      <c r="E57" s="19">
        <f>ROUND(F57+IF('Men''s Epée'!$A$3=1,G57,0)+LARGE($S57:$Y57,1)+LARGE($S57:$Y57,2),0)</f>
        <v>225</v>
      </c>
      <c r="F57" s="20"/>
      <c r="G57" s="21"/>
      <c r="H57" s="21" t="s">
        <v>5</v>
      </c>
      <c r="I57" s="22">
        <f>IF(OR('Men''s Epée'!$A$3=1,'Men''s Epée'!$S$3=TRUE),IF(OR(H57&gt;=49,ISNUMBER(H57)=FALSE),0,VLOOKUP(H57,PointTable,I$3,TRUE)),0)</f>
        <v>0</v>
      </c>
      <c r="J57" s="21">
        <v>43</v>
      </c>
      <c r="K57" s="22">
        <f>IF(OR('Men''s Epée'!$A$3=1,'Men''s Epée'!$T$3=TRUE),IF(OR(J57&gt;=49,ISNUMBER(J57)=FALSE),0,VLOOKUP(J57,PointTable,K$3,TRUE)),0)</f>
        <v>225</v>
      </c>
      <c r="L57" s="21" t="s">
        <v>5</v>
      </c>
      <c r="M57" s="22">
        <f>IF(OR('Men''s Epée'!$A$3=1,'Men''s Epée'!$U$3=TRUE),IF(OR(L57&gt;=49,ISNUMBER(L57)=FALSE),0,VLOOKUP(L57,PointTable,M$3,TRUE)),0)</f>
        <v>0</v>
      </c>
      <c r="N57" s="23"/>
      <c r="O57" s="23"/>
      <c r="P57" s="23"/>
      <c r="Q57" s="24"/>
      <c r="S57" s="25">
        <f t="shared" si="23"/>
        <v>0</v>
      </c>
      <c r="T57" s="25">
        <f t="shared" si="24"/>
        <v>225</v>
      </c>
      <c r="U57" s="25">
        <f t="shared" si="25"/>
        <v>0</v>
      </c>
      <c r="V57" s="25">
        <f>IF(OR('Men''s Epée'!$A$3=1,N57&gt;0),ABS(N57),0)</f>
        <v>0</v>
      </c>
      <c r="W57" s="25">
        <f>IF(OR('Men''s Epée'!$A$3=1,O57&gt;0),ABS(O57),0)</f>
        <v>0</v>
      </c>
      <c r="X57" s="25">
        <f>IF(OR('Men''s Epée'!$A$3=1,P57&gt;0),ABS(P57),0)</f>
        <v>0</v>
      </c>
      <c r="Y57" s="25">
        <f>IF(OR('Men''s Epée'!$A$3=1,Q57&gt;0),ABS(Q57),0)</f>
        <v>0</v>
      </c>
      <c r="AA57" s="12">
        <f>IF('Men''s Epée'!$S$3=TRUE,I57,0)</f>
        <v>0</v>
      </c>
      <c r="AB57" s="12">
        <f>IF('Men''s Epée'!$T$3=TRUE,K57,0)</f>
        <v>225</v>
      </c>
      <c r="AC57" s="12">
        <f>IF('Men''s Epée'!$U$3=TRUE,M57,0)</f>
        <v>0</v>
      </c>
      <c r="AD57" s="26">
        <f t="shared" si="26"/>
        <v>0</v>
      </c>
      <c r="AE57" s="26">
        <f t="shared" si="27"/>
        <v>0</v>
      </c>
      <c r="AF57" s="26">
        <f t="shared" si="28"/>
        <v>0</v>
      </c>
      <c r="AG57" s="26">
        <f t="shared" si="29"/>
        <v>0</v>
      </c>
      <c r="AH57" s="12">
        <f t="shared" si="30"/>
        <v>225</v>
      </c>
    </row>
    <row r="58" spans="1:34" ht="13.5">
      <c r="A58" s="16" t="str">
        <f t="shared" si="4"/>
        <v>55T</v>
      </c>
      <c r="B58" s="16" t="str">
        <f t="shared" si="22"/>
        <v>#</v>
      </c>
      <c r="C58" s="17" t="s">
        <v>332</v>
      </c>
      <c r="D58" s="18">
        <v>1986</v>
      </c>
      <c r="E58" s="19">
        <f>ROUND(F58+IF('Men''s Epée'!$A$3=1,G58,0)+LARGE($S58:$Y58,1)+LARGE($S58:$Y58,2),0)</f>
        <v>220</v>
      </c>
      <c r="F58" s="20"/>
      <c r="G58" s="21"/>
      <c r="H58" s="21" t="s">
        <v>5</v>
      </c>
      <c r="I58" s="22">
        <f>IF(OR('Men''s Epée'!$A$3=1,'Men''s Epée'!$S$3=TRUE),IF(OR(H58&gt;=49,ISNUMBER(H58)=FALSE),0,VLOOKUP(H58,PointTable,I$3,TRUE)),0)</f>
        <v>0</v>
      </c>
      <c r="J58" s="21">
        <v>44</v>
      </c>
      <c r="K58" s="22">
        <f>IF(OR('Men''s Epée'!$A$3=1,'Men''s Epée'!$T$3=TRUE),IF(OR(J58&gt;=49,ISNUMBER(J58)=FALSE),0,VLOOKUP(J58,PointTable,K$3,TRUE)),0)</f>
        <v>220</v>
      </c>
      <c r="L58" s="21" t="s">
        <v>5</v>
      </c>
      <c r="M58" s="22">
        <f>IF(OR('Men''s Epée'!$A$3=1,'Men''s Epée'!$U$3=TRUE),IF(OR(L58&gt;=49,ISNUMBER(L58)=FALSE),0,VLOOKUP(L58,PointTable,M$3,TRUE)),0)</f>
        <v>0</v>
      </c>
      <c r="N58" s="23"/>
      <c r="O58" s="23"/>
      <c r="P58" s="23"/>
      <c r="Q58" s="24"/>
      <c r="S58" s="25">
        <f t="shared" si="23"/>
        <v>0</v>
      </c>
      <c r="T58" s="25">
        <f t="shared" si="24"/>
        <v>220</v>
      </c>
      <c r="U58" s="25">
        <f t="shared" si="25"/>
        <v>0</v>
      </c>
      <c r="V58" s="25">
        <f>IF(OR('Men''s Epée'!$A$3=1,N58&gt;0),ABS(N58),0)</f>
        <v>0</v>
      </c>
      <c r="W58" s="25">
        <f>IF(OR('Men''s Epée'!$A$3=1,O58&gt;0),ABS(O58),0)</f>
        <v>0</v>
      </c>
      <c r="X58" s="25">
        <f>IF(OR('Men''s Epée'!$A$3=1,P58&gt;0),ABS(P58),0)</f>
        <v>0</v>
      </c>
      <c r="Y58" s="25">
        <f>IF(OR('Men''s Epée'!$A$3=1,Q58&gt;0),ABS(Q58),0)</f>
        <v>0</v>
      </c>
      <c r="AA58" s="12">
        <f>IF('Men''s Epée'!$S$3=TRUE,I58,0)</f>
        <v>0</v>
      </c>
      <c r="AB58" s="12">
        <f>IF('Men''s Epée'!$T$3=TRUE,K58,0)</f>
        <v>220</v>
      </c>
      <c r="AC58" s="12">
        <f>IF('Men''s Epée'!$U$3=TRUE,M58,0)</f>
        <v>0</v>
      </c>
      <c r="AD58" s="26">
        <f t="shared" si="26"/>
        <v>0</v>
      </c>
      <c r="AE58" s="26">
        <f t="shared" si="27"/>
        <v>0</v>
      </c>
      <c r="AF58" s="26">
        <f t="shared" si="28"/>
        <v>0</v>
      </c>
      <c r="AG58" s="26">
        <f t="shared" si="29"/>
        <v>0</v>
      </c>
      <c r="AH58" s="12">
        <f t="shared" si="30"/>
        <v>220</v>
      </c>
    </row>
    <row r="59" spans="1:34" ht="13.5">
      <c r="A59" s="16" t="str">
        <f t="shared" si="4"/>
        <v>55T</v>
      </c>
      <c r="B59" s="16" t="str">
        <f t="shared" si="22"/>
        <v>#</v>
      </c>
      <c r="C59" s="17" t="s">
        <v>193</v>
      </c>
      <c r="D59" s="18">
        <v>1984</v>
      </c>
      <c r="E59" s="19">
        <f>ROUND(F59+IF('Men''s Epée'!$A$3=1,G59,0)+LARGE($S59:$Y59,1)+LARGE($S59:$Y59,2),0)</f>
        <v>220</v>
      </c>
      <c r="F59" s="20"/>
      <c r="G59" s="21"/>
      <c r="H59" s="21">
        <v>43.33</v>
      </c>
      <c r="I59" s="22">
        <f>IF(OR('Men''s Epée'!$A$3=1,'Men''s Epée'!$S$3=TRUE),IF(OR(H59&gt;=49,ISNUMBER(H59)=FALSE),0,VLOOKUP(H59,PointTable,I$3,TRUE)),0)</f>
        <v>220</v>
      </c>
      <c r="J59" s="21" t="s">
        <v>5</v>
      </c>
      <c r="K59" s="22">
        <f>IF(OR('Men''s Epée'!$A$3=1,'Men''s Epée'!$T$3=TRUE),IF(OR(J59&gt;=49,ISNUMBER(J59)=FALSE),0,VLOOKUP(J59,PointTable,K$3,TRUE)),0)</f>
        <v>0</v>
      </c>
      <c r="L59" s="21" t="s">
        <v>5</v>
      </c>
      <c r="M59" s="22">
        <f>IF(OR('Men''s Epée'!$A$3=1,'Men''s Epée'!$U$3=TRUE),IF(OR(L59&gt;=49,ISNUMBER(L59)=FALSE),0,VLOOKUP(L59,PointTable,M$3,TRUE)),0)</f>
        <v>0</v>
      </c>
      <c r="N59" s="23"/>
      <c r="O59" s="23"/>
      <c r="P59" s="23"/>
      <c r="Q59" s="24"/>
      <c r="S59" s="25">
        <f t="shared" si="23"/>
        <v>220</v>
      </c>
      <c r="T59" s="25">
        <f t="shared" si="24"/>
        <v>0</v>
      </c>
      <c r="U59" s="25">
        <f t="shared" si="25"/>
        <v>0</v>
      </c>
      <c r="V59" s="25">
        <f>IF(OR('Men''s Epée'!$A$3=1,N59&gt;0),ABS(N59),0)</f>
        <v>0</v>
      </c>
      <c r="W59" s="25">
        <f>IF(OR('Men''s Epée'!$A$3=1,O59&gt;0),ABS(O59),0)</f>
        <v>0</v>
      </c>
      <c r="X59" s="25">
        <f>IF(OR('Men''s Epée'!$A$3=1,P59&gt;0),ABS(P59),0)</f>
        <v>0</v>
      </c>
      <c r="Y59" s="25">
        <f>IF(OR('Men''s Epée'!$A$3=1,Q59&gt;0),ABS(Q59),0)</f>
        <v>0</v>
      </c>
      <c r="AA59" s="12">
        <f>IF('Men''s Epée'!$S$3=TRUE,I59,0)</f>
        <v>220</v>
      </c>
      <c r="AB59" s="12">
        <f>IF('Men''s Epée'!$T$3=TRUE,K59,0)</f>
        <v>0</v>
      </c>
      <c r="AC59" s="12">
        <f>IF('Men''s Epée'!$U$3=TRUE,M59,0)</f>
        <v>0</v>
      </c>
      <c r="AD59" s="26">
        <f t="shared" si="26"/>
        <v>0</v>
      </c>
      <c r="AE59" s="26">
        <f t="shared" si="27"/>
        <v>0</v>
      </c>
      <c r="AF59" s="26">
        <f t="shared" si="28"/>
        <v>0</v>
      </c>
      <c r="AG59" s="26">
        <f t="shared" si="29"/>
        <v>0</v>
      </c>
      <c r="AH59" s="12">
        <f t="shared" si="30"/>
        <v>220</v>
      </c>
    </row>
    <row r="60" spans="1:34" ht="13.5">
      <c r="A60" s="16" t="str">
        <f t="shared" si="4"/>
        <v>55T</v>
      </c>
      <c r="B60" s="16">
        <f t="shared" si="22"/>
      </c>
      <c r="C60" s="17" t="s">
        <v>267</v>
      </c>
      <c r="D60" s="18">
        <v>1952</v>
      </c>
      <c r="E60" s="19">
        <f>ROUND(F60+IF('Men''s Epée'!$A$3=1,G60,0)+LARGE($S60:$Y60,1)+LARGE($S60:$Y60,2),0)</f>
        <v>220</v>
      </c>
      <c r="F60" s="20"/>
      <c r="G60" s="21"/>
      <c r="H60" s="21">
        <v>43.33</v>
      </c>
      <c r="I60" s="22">
        <f>IF(OR('Men''s Epée'!$A$3=1,'Men''s Epée'!$S$3=TRUE),IF(OR(H60&gt;=49,ISNUMBER(H60)=FALSE),0,VLOOKUP(H60,PointTable,I$3,TRUE)),0)</f>
        <v>220</v>
      </c>
      <c r="J60" s="21" t="s">
        <v>5</v>
      </c>
      <c r="K60" s="22">
        <f>IF(OR('Men''s Epée'!$A$3=1,'Men''s Epée'!$T$3=TRUE),IF(OR(J60&gt;=49,ISNUMBER(J60)=FALSE),0,VLOOKUP(J60,PointTable,K$3,TRUE)),0)</f>
        <v>0</v>
      </c>
      <c r="L60" s="21" t="s">
        <v>5</v>
      </c>
      <c r="M60" s="22">
        <f>IF(OR('Men''s Epée'!$A$3=1,'Men''s Epée'!$U$3=TRUE),IF(OR(L60&gt;=49,ISNUMBER(L60)=FALSE),0,VLOOKUP(L60,PointTable,M$3,TRUE)),0)</f>
        <v>0</v>
      </c>
      <c r="N60" s="23"/>
      <c r="O60" s="23"/>
      <c r="P60" s="23"/>
      <c r="Q60" s="24"/>
      <c r="S60" s="25">
        <f t="shared" si="23"/>
        <v>220</v>
      </c>
      <c r="T60" s="25">
        <f t="shared" si="24"/>
        <v>0</v>
      </c>
      <c r="U60" s="25">
        <f t="shared" si="25"/>
        <v>0</v>
      </c>
      <c r="V60" s="25">
        <f>IF(OR('Men''s Epée'!$A$3=1,N60&gt;0),ABS(N60),0)</f>
        <v>0</v>
      </c>
      <c r="W60" s="25">
        <f>IF(OR('Men''s Epée'!$A$3=1,O60&gt;0),ABS(O60),0)</f>
        <v>0</v>
      </c>
      <c r="X60" s="25">
        <f>IF(OR('Men''s Epée'!$A$3=1,P60&gt;0),ABS(P60),0)</f>
        <v>0</v>
      </c>
      <c r="Y60" s="25">
        <f>IF(OR('Men''s Epée'!$A$3=1,Q60&gt;0),ABS(Q60),0)</f>
        <v>0</v>
      </c>
      <c r="AA60" s="12">
        <f>IF('Men''s Epée'!$S$3=TRUE,I60,0)</f>
        <v>220</v>
      </c>
      <c r="AB60" s="12">
        <f>IF('Men''s Epée'!$T$3=TRUE,K60,0)</f>
        <v>0</v>
      </c>
      <c r="AC60" s="12">
        <f>IF('Men''s Epée'!$U$3=TRUE,M60,0)</f>
        <v>0</v>
      </c>
      <c r="AD60" s="26">
        <f t="shared" si="26"/>
        <v>0</v>
      </c>
      <c r="AE60" s="26">
        <f t="shared" si="27"/>
        <v>0</v>
      </c>
      <c r="AF60" s="26">
        <f t="shared" si="28"/>
        <v>0</v>
      </c>
      <c r="AG60" s="26">
        <f t="shared" si="29"/>
        <v>0</v>
      </c>
      <c r="AH60" s="12">
        <f t="shared" si="30"/>
        <v>220</v>
      </c>
    </row>
    <row r="61" spans="1:34" ht="13.5">
      <c r="A61" s="16" t="str">
        <f t="shared" si="4"/>
        <v>58T</v>
      </c>
      <c r="B61" s="16">
        <f t="shared" si="22"/>
      </c>
      <c r="C61" s="17" t="s">
        <v>194</v>
      </c>
      <c r="D61" s="18">
        <v>1982</v>
      </c>
      <c r="E61" s="19">
        <f>ROUND(F61+IF('Men''s Epée'!$A$3=1,G61,0)+LARGE($S61:$Y61,1)+LARGE($S61:$Y61,2),0)</f>
        <v>208</v>
      </c>
      <c r="F61" s="20"/>
      <c r="G61" s="21"/>
      <c r="H61" s="21">
        <v>46.5</v>
      </c>
      <c r="I61" s="22">
        <f>IF(OR('Men''s Epée'!$A$3=1,'Men''s Epée'!$S$3=TRUE),IF(OR(H61&gt;=49,ISNUMBER(H61)=FALSE),0,VLOOKUP(H61,PointTable,I$3,TRUE)),0)</f>
        <v>207.5</v>
      </c>
      <c r="J61" s="21" t="s">
        <v>5</v>
      </c>
      <c r="K61" s="22">
        <f>IF(OR('Men''s Epée'!$A$3=1,'Men''s Epée'!$T$3=TRUE),IF(OR(J61&gt;=49,ISNUMBER(J61)=FALSE),0,VLOOKUP(J61,PointTable,K$3,TRUE)),0)</f>
        <v>0</v>
      </c>
      <c r="L61" s="21" t="s">
        <v>5</v>
      </c>
      <c r="M61" s="22">
        <f>IF(OR('Men''s Epée'!$A$3=1,'Men''s Epée'!$U$3=TRUE),IF(OR(L61&gt;=49,ISNUMBER(L61)=FALSE),0,VLOOKUP(L61,PointTable,M$3,TRUE)),0)</f>
        <v>0</v>
      </c>
      <c r="N61" s="23"/>
      <c r="O61" s="23"/>
      <c r="P61" s="23"/>
      <c r="Q61" s="24"/>
      <c r="S61" s="25">
        <f t="shared" si="23"/>
        <v>207.5</v>
      </c>
      <c r="T61" s="25">
        <f t="shared" si="24"/>
        <v>0</v>
      </c>
      <c r="U61" s="25">
        <f t="shared" si="25"/>
        <v>0</v>
      </c>
      <c r="V61" s="25">
        <f>IF(OR('Men''s Epée'!$A$3=1,N61&gt;0),ABS(N61),0)</f>
        <v>0</v>
      </c>
      <c r="W61" s="25">
        <f>IF(OR('Men''s Epée'!$A$3=1,O61&gt;0),ABS(O61),0)</f>
        <v>0</v>
      </c>
      <c r="X61" s="25">
        <f>IF(OR('Men''s Epée'!$A$3=1,P61&gt;0),ABS(P61),0)</f>
        <v>0</v>
      </c>
      <c r="Y61" s="25">
        <f>IF(OR('Men''s Epée'!$A$3=1,Q61&gt;0),ABS(Q61),0)</f>
        <v>0</v>
      </c>
      <c r="AA61" s="12">
        <f>IF('Men''s Epée'!$S$3=TRUE,I61,0)</f>
        <v>207.5</v>
      </c>
      <c r="AB61" s="12">
        <f>IF('Men''s Epée'!$T$3=TRUE,K61,0)</f>
        <v>0</v>
      </c>
      <c r="AC61" s="12">
        <f>IF('Men''s Epée'!$U$3=TRUE,M61,0)</f>
        <v>0</v>
      </c>
      <c r="AD61" s="26">
        <f t="shared" si="26"/>
        <v>0</v>
      </c>
      <c r="AE61" s="26">
        <f t="shared" si="27"/>
        <v>0</v>
      </c>
      <c r="AF61" s="26">
        <f t="shared" si="28"/>
        <v>0</v>
      </c>
      <c r="AG61" s="26">
        <f t="shared" si="29"/>
        <v>0</v>
      </c>
      <c r="AH61" s="12">
        <f t="shared" si="30"/>
        <v>207.5</v>
      </c>
    </row>
    <row r="62" spans="1:34" ht="13.5">
      <c r="A62" s="16" t="str">
        <f t="shared" si="4"/>
        <v>58T</v>
      </c>
      <c r="B62" s="16" t="str">
        <f t="shared" si="22"/>
        <v>#</v>
      </c>
      <c r="C62" s="17" t="s">
        <v>268</v>
      </c>
      <c r="D62" s="18">
        <v>1986</v>
      </c>
      <c r="E62" s="19">
        <f>ROUND(F62+IF('Men''s Epée'!$A$3=1,G62,0)+LARGE($S62:$Y62,1)+LARGE($S62:$Y62,2),0)</f>
        <v>208</v>
      </c>
      <c r="F62" s="20"/>
      <c r="G62" s="21"/>
      <c r="H62" s="21">
        <v>46.5</v>
      </c>
      <c r="I62" s="22">
        <f>IF(OR('Men''s Epée'!$A$3=1,'Men''s Epée'!$S$3=TRUE),IF(OR(H62&gt;=49,ISNUMBER(H62)=FALSE),0,VLOOKUP(H62,PointTable,I$3,TRUE)),0)</f>
        <v>207.5</v>
      </c>
      <c r="J62" s="21" t="s">
        <v>5</v>
      </c>
      <c r="K62" s="22">
        <f>IF(OR('Men''s Epée'!$A$3=1,'Men''s Epée'!$T$3=TRUE),IF(OR(J62&gt;=49,ISNUMBER(J62)=FALSE),0,VLOOKUP(J62,PointTable,K$3,TRUE)),0)</f>
        <v>0</v>
      </c>
      <c r="L62" s="21" t="s">
        <v>5</v>
      </c>
      <c r="M62" s="22">
        <f>IF(OR('Men''s Epée'!$A$3=1,'Men''s Epée'!$U$3=TRUE),IF(OR(L62&gt;=49,ISNUMBER(L62)=FALSE),0,VLOOKUP(L62,PointTable,M$3,TRUE)),0)</f>
        <v>0</v>
      </c>
      <c r="N62" s="23"/>
      <c r="O62" s="23"/>
      <c r="P62" s="23"/>
      <c r="Q62" s="24"/>
      <c r="S62" s="25">
        <f t="shared" si="23"/>
        <v>207.5</v>
      </c>
      <c r="T62" s="25">
        <f t="shared" si="24"/>
        <v>0</v>
      </c>
      <c r="U62" s="25">
        <f t="shared" si="25"/>
        <v>0</v>
      </c>
      <c r="V62" s="25">
        <f>IF(OR('Men''s Epée'!$A$3=1,N62&gt;0),ABS(N62),0)</f>
        <v>0</v>
      </c>
      <c r="W62" s="25">
        <f>IF(OR('Men''s Epée'!$A$3=1,O62&gt;0),ABS(O62),0)</f>
        <v>0</v>
      </c>
      <c r="X62" s="25">
        <f>IF(OR('Men''s Epée'!$A$3=1,P62&gt;0),ABS(P62),0)</f>
        <v>0</v>
      </c>
      <c r="Y62" s="25">
        <f>IF(OR('Men''s Epée'!$A$3=1,Q62&gt;0),ABS(Q62),0)</f>
        <v>0</v>
      </c>
      <c r="AA62" s="12">
        <f>IF('Men''s Epée'!$S$3=TRUE,I62,0)</f>
        <v>207.5</v>
      </c>
      <c r="AB62" s="12">
        <f>IF('Men''s Epée'!$T$3=TRUE,K62,0)</f>
        <v>0</v>
      </c>
      <c r="AC62" s="12">
        <f>IF('Men''s Epée'!$U$3=TRUE,M62,0)</f>
        <v>0</v>
      </c>
      <c r="AD62" s="26">
        <f t="shared" si="26"/>
        <v>0</v>
      </c>
      <c r="AE62" s="26">
        <f t="shared" si="27"/>
        <v>0</v>
      </c>
      <c r="AF62" s="26">
        <f t="shared" si="28"/>
        <v>0</v>
      </c>
      <c r="AG62" s="26">
        <f t="shared" si="29"/>
        <v>0</v>
      </c>
      <c r="AH62" s="12">
        <f t="shared" si="30"/>
        <v>207.5</v>
      </c>
    </row>
    <row r="63" spans="1:34" ht="13.5">
      <c r="A63" s="16" t="str">
        <f t="shared" si="4"/>
        <v>60</v>
      </c>
      <c r="B63" s="16">
        <f>TRIM(IF(D63&gt;=JuniorCutoff,"#",""))</f>
      </c>
      <c r="C63" s="17" t="s">
        <v>333</v>
      </c>
      <c r="D63" s="18">
        <v>1970</v>
      </c>
      <c r="E63" s="19">
        <f>ROUND(F63+IF('Men''s Epée'!$A$3=1,G63,0)+LARGE($S63:$Y63,1)+LARGE($S63:$Y63,2),0)</f>
        <v>205</v>
      </c>
      <c r="F63" s="20"/>
      <c r="G63" s="21"/>
      <c r="H63" s="21" t="s">
        <v>5</v>
      </c>
      <c r="I63" s="22">
        <f>IF(OR('Men''s Epée'!$A$3=1,'Men''s Epée'!$S$3=TRUE),IF(OR(H63&gt;=49,ISNUMBER(H63)=FALSE),0,VLOOKUP(H63,PointTable,I$3,TRUE)),0)</f>
        <v>0</v>
      </c>
      <c r="J63" s="21">
        <v>47</v>
      </c>
      <c r="K63" s="22">
        <f>IF(OR('Men''s Epée'!$A$3=1,'Men''s Epée'!$T$3=TRUE),IF(OR(J63&gt;=49,ISNUMBER(J63)=FALSE),0,VLOOKUP(J63,PointTable,K$3,TRUE)),0)</f>
        <v>205</v>
      </c>
      <c r="L63" s="21" t="s">
        <v>5</v>
      </c>
      <c r="M63" s="22">
        <f>IF(OR('Men''s Epée'!$A$3=1,'Men''s Epée'!$U$3=TRUE),IF(OR(L63&gt;=49,ISNUMBER(L63)=FALSE),0,VLOOKUP(L63,PointTable,M$3,TRUE)),0)</f>
        <v>0</v>
      </c>
      <c r="N63" s="23"/>
      <c r="O63" s="23"/>
      <c r="P63" s="23"/>
      <c r="Q63" s="24"/>
      <c r="S63" s="25">
        <f>I63</f>
        <v>0</v>
      </c>
      <c r="T63" s="25">
        <f>K63</f>
        <v>205</v>
      </c>
      <c r="U63" s="25">
        <f>M63</f>
        <v>0</v>
      </c>
      <c r="V63" s="25">
        <f>IF(OR('Men''s Epée'!$A$3=1,N63&gt;0),ABS(N63),0)</f>
        <v>0</v>
      </c>
      <c r="W63" s="25">
        <f>IF(OR('Men''s Epée'!$A$3=1,O63&gt;0),ABS(O63),0)</f>
        <v>0</v>
      </c>
      <c r="X63" s="25">
        <f>IF(OR('Men''s Epée'!$A$3=1,P63&gt;0),ABS(P63),0)</f>
        <v>0</v>
      </c>
      <c r="Y63" s="25">
        <f>IF(OR('Men''s Epée'!$A$3=1,Q63&gt;0),ABS(Q63),0)</f>
        <v>0</v>
      </c>
      <c r="AA63" s="12">
        <f>IF('Men''s Epée'!$S$3=TRUE,I63,0)</f>
        <v>0</v>
      </c>
      <c r="AB63" s="12">
        <f>IF('Men''s Epée'!$T$3=TRUE,K63,0)</f>
        <v>205</v>
      </c>
      <c r="AC63" s="12">
        <f>IF('Men''s Epée'!$U$3=TRUE,M63,0)</f>
        <v>0</v>
      </c>
      <c r="AD63" s="26">
        <f>MAX(N63,0)</f>
        <v>0</v>
      </c>
      <c r="AE63" s="26">
        <f>MAX(O63,0)</f>
        <v>0</v>
      </c>
      <c r="AF63" s="26">
        <f>MAX(P63,0)</f>
        <v>0</v>
      </c>
      <c r="AG63" s="26">
        <f>MAX(Q63,0)</f>
        <v>0</v>
      </c>
      <c r="AH63" s="12">
        <f>LARGE(AA63:AG63,1)+LARGE(AA63:AG63,2)+F63</f>
        <v>205</v>
      </c>
    </row>
    <row r="64" spans="1:34" ht="13.5">
      <c r="A64" s="16">
        <f t="shared" si="4"/>
      </c>
      <c r="B64" s="16">
        <f t="shared" si="22"/>
      </c>
      <c r="C64" s="17" t="s">
        <v>396</v>
      </c>
      <c r="D64" s="36">
        <v>1980</v>
      </c>
      <c r="E64" s="19">
        <f>ROUND(F64+IF('Men''s Epée'!$A$3=1,G64,0)+LARGE($S64:$Y64,1)+LARGE($S64:$Y64,2),0)</f>
        <v>88</v>
      </c>
      <c r="F64" s="20">
        <v>88</v>
      </c>
      <c r="G64" s="21"/>
      <c r="H64" s="21" t="s">
        <v>5</v>
      </c>
      <c r="I64" s="22">
        <f>IF(OR('Men''s Epée'!$A$3=1,'Men''s Epée'!$S$3=TRUE),IF(OR(H64&gt;=49,ISNUMBER(H64)=FALSE),0,VLOOKUP(H64,PointTable,I$3,TRUE)),0)</f>
        <v>0</v>
      </c>
      <c r="J64" s="21" t="s">
        <v>5</v>
      </c>
      <c r="K64" s="22">
        <f>IF(OR('Men''s Epée'!$A$3=1,'Men''s Epée'!$T$3=TRUE),IF(OR(J64&gt;=49,ISNUMBER(J64)=FALSE),0,VLOOKUP(J64,PointTable,K$3,TRUE)),0)</f>
        <v>0</v>
      </c>
      <c r="L64" s="21" t="s">
        <v>5</v>
      </c>
      <c r="M64" s="22">
        <f>IF(OR('Men''s Epée'!$A$3=1,'Men''s Epée'!$U$3=TRUE),IF(OR(L64&gt;=49,ISNUMBER(L64)=FALSE),0,VLOOKUP(L64,PointTable,M$3,TRUE)),0)</f>
        <v>0</v>
      </c>
      <c r="N64" s="23"/>
      <c r="O64" s="23"/>
      <c r="P64" s="23"/>
      <c r="Q64" s="24"/>
      <c r="S64" s="25">
        <f t="shared" si="23"/>
        <v>0</v>
      </c>
      <c r="T64" s="25">
        <f t="shared" si="24"/>
        <v>0</v>
      </c>
      <c r="U64" s="25">
        <f t="shared" si="25"/>
        <v>0</v>
      </c>
      <c r="V64" s="25">
        <f>IF(OR('Men''s Epée'!$A$3=1,N64&gt;0),ABS(N64),0)</f>
        <v>0</v>
      </c>
      <c r="W64" s="25">
        <f>IF(OR('Men''s Epée'!$A$3=1,O64&gt;0),ABS(O64),0)</f>
        <v>0</v>
      </c>
      <c r="X64" s="25">
        <f>IF(OR('Men''s Epée'!$A$3=1,P64&gt;0),ABS(P64),0)</f>
        <v>0</v>
      </c>
      <c r="Y64" s="25">
        <f>IF(OR('Men''s Epée'!$A$3=1,Q64&gt;0),ABS(Q64),0)</f>
        <v>0</v>
      </c>
      <c r="AA64" s="12">
        <f>IF('Men''s Epée'!$S$3=TRUE,I64,0)</f>
        <v>0</v>
      </c>
      <c r="AB64" s="12">
        <f>IF('Men''s Epée'!$T$3=TRUE,K64,0)</f>
        <v>0</v>
      </c>
      <c r="AC64" s="12">
        <f>IF('Men''s Epée'!$U$3=TRUE,M64,0)</f>
        <v>0</v>
      </c>
      <c r="AD64" s="26">
        <f t="shared" si="26"/>
        <v>0</v>
      </c>
      <c r="AE64" s="26">
        <f t="shared" si="27"/>
        <v>0</v>
      </c>
      <c r="AF64" s="26">
        <f t="shared" si="28"/>
        <v>0</v>
      </c>
      <c r="AG64" s="26">
        <f t="shared" si="29"/>
        <v>0</v>
      </c>
      <c r="AH64" s="12">
        <f t="shared" si="30"/>
        <v>88</v>
      </c>
    </row>
    <row r="65" spans="27:34" ht="13.5">
      <c r="AA65" s="12"/>
      <c r="AB65" s="12"/>
      <c r="AC65" s="12"/>
      <c r="AD65" s="26"/>
      <c r="AE65" s="26"/>
      <c r="AF65" s="26"/>
      <c r="AG65" s="26"/>
      <c r="AH65" s="12"/>
    </row>
    <row r="66" spans="3:34" ht="13.5">
      <c r="C66" s="30" t="s">
        <v>18</v>
      </c>
      <c r="F66" s="25"/>
      <c r="G66" s="25"/>
      <c r="H66" s="25"/>
      <c r="I66" s="25"/>
      <c r="L66" s="31" t="s">
        <v>19</v>
      </c>
      <c r="M66" s="31" t="s">
        <v>20</v>
      </c>
      <c r="N66" s="28"/>
      <c r="AA66" s="12"/>
      <c r="AB66" s="12"/>
      <c r="AC66" s="12"/>
      <c r="AD66" s="26"/>
      <c r="AE66" s="26"/>
      <c r="AF66" s="26"/>
      <c r="AG66" s="26"/>
      <c r="AH66" s="12"/>
    </row>
    <row r="67" spans="3:34" ht="13.5">
      <c r="C67" s="37" t="s">
        <v>163</v>
      </c>
      <c r="D67" s="18" t="s">
        <v>356</v>
      </c>
      <c r="F67" s="25"/>
      <c r="G67" s="25"/>
      <c r="H67" s="25"/>
      <c r="I67" s="25"/>
      <c r="L67" s="32">
        <v>3</v>
      </c>
      <c r="M67" s="33">
        <v>1140.36</v>
      </c>
      <c r="N67" s="34"/>
      <c r="AA67" s="12"/>
      <c r="AB67" s="12"/>
      <c r="AC67" s="12"/>
      <c r="AD67" s="26"/>
      <c r="AE67" s="26"/>
      <c r="AF67" s="26"/>
      <c r="AG67" s="26"/>
      <c r="AH67" s="12"/>
    </row>
    <row r="68" spans="3:34" ht="13.5">
      <c r="C68" s="37" t="s">
        <v>35</v>
      </c>
      <c r="D68" s="18" t="s">
        <v>356</v>
      </c>
      <c r="F68" s="25"/>
      <c r="G68" s="25"/>
      <c r="H68" s="25"/>
      <c r="I68" s="25"/>
      <c r="L68" s="32">
        <v>11</v>
      </c>
      <c r="M68" s="33">
        <v>704.34</v>
      </c>
      <c r="N68" s="34"/>
      <c r="AA68" s="12"/>
      <c r="AB68" s="12"/>
      <c r="AC68" s="12"/>
      <c r="AD68" s="26"/>
      <c r="AE68" s="26"/>
      <c r="AF68" s="26"/>
      <c r="AG68" s="26"/>
      <c r="AH68" s="12"/>
    </row>
    <row r="69" spans="14:34" ht="13.5">
      <c r="N69" s="28"/>
      <c r="AA69" s="12"/>
      <c r="AB69" s="12"/>
      <c r="AC69" s="12"/>
      <c r="AD69" s="26"/>
      <c r="AE69" s="26"/>
      <c r="AF69" s="26"/>
      <c r="AG69" s="26"/>
      <c r="AH69" s="12"/>
    </row>
    <row r="70" spans="3:34" ht="13.5">
      <c r="C70" s="30" t="s">
        <v>21</v>
      </c>
      <c r="F70" s="25"/>
      <c r="G70" s="25"/>
      <c r="H70" s="25"/>
      <c r="I70" s="25"/>
      <c r="L70" s="31" t="s">
        <v>19</v>
      </c>
      <c r="M70" s="31" t="s">
        <v>20</v>
      </c>
      <c r="N70" s="34"/>
      <c r="AA70" s="12"/>
      <c r="AB70" s="12"/>
      <c r="AC70" s="12"/>
      <c r="AD70" s="26"/>
      <c r="AE70" s="26"/>
      <c r="AF70" s="26"/>
      <c r="AG70" s="26"/>
      <c r="AH70" s="12"/>
    </row>
    <row r="71" spans="2:34" ht="13.5">
      <c r="B71" s="43"/>
      <c r="C71" s="37" t="s">
        <v>335</v>
      </c>
      <c r="D71" s="18" t="s">
        <v>397</v>
      </c>
      <c r="F71" s="25"/>
      <c r="G71" s="25"/>
      <c r="H71" s="25"/>
      <c r="I71" s="25"/>
      <c r="L71" s="39">
        <v>31</v>
      </c>
      <c r="M71" s="18">
        <v>652</v>
      </c>
      <c r="N71" s="34"/>
      <c r="AA71" s="12"/>
      <c r="AB71" s="12"/>
      <c r="AC71" s="12"/>
      <c r="AD71" s="26"/>
      <c r="AE71" s="26"/>
      <c r="AF71" s="26"/>
      <c r="AG71" s="26"/>
      <c r="AH71" s="12"/>
    </row>
    <row r="72" spans="2:34" ht="13.5">
      <c r="B72" s="43"/>
      <c r="C72" s="37" t="s">
        <v>335</v>
      </c>
      <c r="D72" s="18" t="s">
        <v>426</v>
      </c>
      <c r="F72" s="25"/>
      <c r="G72" s="25"/>
      <c r="H72" s="25"/>
      <c r="I72" s="25"/>
      <c r="L72" s="32">
        <v>31</v>
      </c>
      <c r="M72" s="33">
        <v>479.54600000000005</v>
      </c>
      <c r="N72" s="34"/>
      <c r="AA72" s="12"/>
      <c r="AB72" s="12"/>
      <c r="AC72" s="12"/>
      <c r="AD72" s="26"/>
      <c r="AE72" s="26"/>
      <c r="AF72" s="26"/>
      <c r="AG72" s="26"/>
      <c r="AH72" s="12"/>
    </row>
    <row r="73" spans="2:34" ht="13.5">
      <c r="B73" s="43"/>
      <c r="C73" s="37" t="s">
        <v>107</v>
      </c>
      <c r="D73" s="18" t="s">
        <v>397</v>
      </c>
      <c r="F73" s="25"/>
      <c r="G73" s="25"/>
      <c r="H73" s="25"/>
      <c r="I73" s="25"/>
      <c r="L73" s="39">
        <v>39</v>
      </c>
      <c r="M73" s="18">
        <v>272</v>
      </c>
      <c r="N73" s="34"/>
      <c r="AA73" s="12"/>
      <c r="AB73" s="12"/>
      <c r="AC73" s="12"/>
      <c r="AD73" s="26"/>
      <c r="AE73" s="26"/>
      <c r="AF73" s="26"/>
      <c r="AG73" s="26"/>
      <c r="AH73" s="12"/>
    </row>
    <row r="74" spans="2:34" ht="13.5">
      <c r="B74" s="43"/>
      <c r="C74" s="37" t="s">
        <v>33</v>
      </c>
      <c r="D74" s="18" t="s">
        <v>397</v>
      </c>
      <c r="F74" s="25"/>
      <c r="G74" s="25"/>
      <c r="H74" s="25"/>
      <c r="I74" s="25"/>
      <c r="L74" s="39">
        <v>49</v>
      </c>
      <c r="M74" s="18">
        <v>192</v>
      </c>
      <c r="N74" s="34"/>
      <c r="AA74" s="12"/>
      <c r="AB74" s="12"/>
      <c r="AC74" s="12"/>
      <c r="AD74" s="26"/>
      <c r="AE74" s="26"/>
      <c r="AF74" s="26"/>
      <c r="AG74" s="26"/>
      <c r="AH74" s="12"/>
    </row>
    <row r="75" spans="2:34" ht="13.5">
      <c r="B75" s="43"/>
      <c r="C75" s="37" t="s">
        <v>393</v>
      </c>
      <c r="D75" s="18" t="s">
        <v>397</v>
      </c>
      <c r="F75" s="25"/>
      <c r="G75" s="25"/>
      <c r="H75" s="25"/>
      <c r="I75" s="25"/>
      <c r="L75" s="39">
        <v>55</v>
      </c>
      <c r="M75" s="18">
        <v>144</v>
      </c>
      <c r="N75" s="34"/>
      <c r="AA75" s="12"/>
      <c r="AB75" s="12"/>
      <c r="AC75" s="12"/>
      <c r="AD75" s="26"/>
      <c r="AE75" s="26"/>
      <c r="AF75" s="26"/>
      <c r="AG75" s="26"/>
      <c r="AH75" s="12"/>
    </row>
    <row r="76" spans="2:34" ht="13.5">
      <c r="B76" s="43"/>
      <c r="C76" s="37" t="s">
        <v>395</v>
      </c>
      <c r="D76" s="18" t="s">
        <v>397</v>
      </c>
      <c r="F76" s="25"/>
      <c r="G76" s="25"/>
      <c r="H76" s="25"/>
      <c r="I76" s="25"/>
      <c r="L76" s="39">
        <v>57</v>
      </c>
      <c r="M76" s="18">
        <v>128</v>
      </c>
      <c r="N76" s="34"/>
      <c r="AA76" s="12"/>
      <c r="AB76" s="12"/>
      <c r="AC76" s="12"/>
      <c r="AD76" s="26"/>
      <c r="AE76" s="26"/>
      <c r="AF76" s="26"/>
      <c r="AG76" s="26"/>
      <c r="AH76" s="12"/>
    </row>
    <row r="77" spans="2:34" ht="13.5">
      <c r="B77" s="43"/>
      <c r="C77" s="37" t="s">
        <v>394</v>
      </c>
      <c r="D77" s="18" t="s">
        <v>397</v>
      </c>
      <c r="F77" s="25"/>
      <c r="G77" s="25"/>
      <c r="H77" s="25"/>
      <c r="I77" s="25"/>
      <c r="L77" s="39">
        <v>32</v>
      </c>
      <c r="M77" s="18">
        <v>644</v>
      </c>
      <c r="N77" s="34"/>
      <c r="AA77" s="12"/>
      <c r="AB77" s="12"/>
      <c r="AC77" s="12"/>
      <c r="AD77" s="26"/>
      <c r="AE77" s="26"/>
      <c r="AF77" s="26"/>
      <c r="AG77" s="26"/>
      <c r="AH77" s="12"/>
    </row>
    <row r="78" spans="2:34" ht="13.5">
      <c r="B78" s="43"/>
      <c r="C78" s="37" t="s">
        <v>163</v>
      </c>
      <c r="D78" s="18" t="s">
        <v>352</v>
      </c>
      <c r="F78" s="25"/>
      <c r="G78" s="25"/>
      <c r="H78" s="25"/>
      <c r="I78" s="25"/>
      <c r="L78" s="32">
        <v>13</v>
      </c>
      <c r="M78" s="33">
        <v>635.304</v>
      </c>
      <c r="N78" s="34"/>
      <c r="AA78" s="12"/>
      <c r="AB78" s="12"/>
      <c r="AC78" s="12"/>
      <c r="AD78" s="26"/>
      <c r="AE78" s="26"/>
      <c r="AF78" s="26"/>
      <c r="AG78" s="26"/>
      <c r="AH78" s="12"/>
    </row>
    <row r="79" spans="2:34" ht="13.5">
      <c r="B79" s="43"/>
      <c r="C79" s="38" t="s">
        <v>163</v>
      </c>
      <c r="D79" s="18" t="s">
        <v>367</v>
      </c>
      <c r="F79" s="25"/>
      <c r="G79" s="25"/>
      <c r="H79" s="25"/>
      <c r="I79" s="25"/>
      <c r="L79" s="39">
        <v>30</v>
      </c>
      <c r="M79" s="18">
        <v>660</v>
      </c>
      <c r="N79" s="34"/>
      <c r="AA79" s="12"/>
      <c r="AB79" s="12"/>
      <c r="AC79" s="12"/>
      <c r="AD79" s="26"/>
      <c r="AE79" s="26"/>
      <c r="AF79" s="26"/>
      <c r="AG79" s="26"/>
      <c r="AH79" s="12"/>
    </row>
    <row r="80" spans="2:34" ht="13.5">
      <c r="B80" s="43"/>
      <c r="C80" s="37" t="s">
        <v>163</v>
      </c>
      <c r="D80" s="18" t="s">
        <v>397</v>
      </c>
      <c r="F80" s="25"/>
      <c r="G80" s="25"/>
      <c r="H80" s="25"/>
      <c r="I80" s="25"/>
      <c r="L80" s="39">
        <v>13.5</v>
      </c>
      <c r="M80" s="18">
        <v>1230</v>
      </c>
      <c r="N80" s="34"/>
      <c r="AA80" s="12"/>
      <c r="AB80" s="12"/>
      <c r="AC80" s="12"/>
      <c r="AD80" s="26"/>
      <c r="AE80" s="26"/>
      <c r="AF80" s="26"/>
      <c r="AG80" s="26"/>
      <c r="AH80" s="12"/>
    </row>
    <row r="81" spans="2:34" ht="13.5">
      <c r="B81" s="43"/>
      <c r="C81" s="37" t="s">
        <v>163</v>
      </c>
      <c r="D81" s="18" t="s">
        <v>426</v>
      </c>
      <c r="F81" s="25"/>
      <c r="G81" s="25"/>
      <c r="H81" s="25"/>
      <c r="I81" s="25"/>
      <c r="L81" s="32">
        <v>24</v>
      </c>
      <c r="M81" s="33">
        <v>556.038</v>
      </c>
      <c r="N81" s="34"/>
      <c r="AA81" s="12"/>
      <c r="AB81" s="12"/>
      <c r="AC81" s="12"/>
      <c r="AD81" s="26"/>
      <c r="AE81" s="26"/>
      <c r="AF81" s="26"/>
      <c r="AG81" s="26"/>
      <c r="AH81" s="12"/>
    </row>
    <row r="82" spans="2:34" ht="13.5">
      <c r="B82" s="43"/>
      <c r="C82" s="17" t="s">
        <v>112</v>
      </c>
      <c r="D82" s="18" t="s">
        <v>359</v>
      </c>
      <c r="F82" s="25"/>
      <c r="G82" s="25"/>
      <c r="H82" s="25"/>
      <c r="I82" s="25"/>
      <c r="L82" s="39">
        <v>52</v>
      </c>
      <c r="M82" s="18">
        <v>168</v>
      </c>
      <c r="N82" s="34"/>
      <c r="AA82" s="12"/>
      <c r="AB82" s="12"/>
      <c r="AC82" s="12"/>
      <c r="AD82" s="26"/>
      <c r="AE82" s="26"/>
      <c r="AF82" s="26"/>
      <c r="AG82" s="26"/>
      <c r="AH82" s="12"/>
    </row>
    <row r="83" spans="2:14" ht="12.75">
      <c r="B83" s="43"/>
      <c r="C83" s="37" t="s">
        <v>353</v>
      </c>
      <c r="D83" s="18" t="s">
        <v>352</v>
      </c>
      <c r="F83" s="25"/>
      <c r="G83" s="25"/>
      <c r="H83" s="25"/>
      <c r="I83" s="25"/>
      <c r="L83" s="32">
        <v>18</v>
      </c>
      <c r="M83" s="33">
        <v>425.592</v>
      </c>
      <c r="N83" s="34"/>
    </row>
    <row r="84" spans="2:14" ht="12.75">
      <c r="B84" s="43"/>
      <c r="C84" s="37" t="s">
        <v>353</v>
      </c>
      <c r="D84" s="18" t="s">
        <v>397</v>
      </c>
      <c r="F84" s="25"/>
      <c r="G84" s="25"/>
      <c r="H84" s="25"/>
      <c r="I84" s="25"/>
      <c r="L84" s="39">
        <v>52</v>
      </c>
      <c r="M84" s="18">
        <v>168</v>
      </c>
      <c r="N84" s="34"/>
    </row>
    <row r="85" spans="2:14" ht="12.75">
      <c r="B85" s="43"/>
      <c r="C85" s="37" t="s">
        <v>36</v>
      </c>
      <c r="D85" s="18" t="s">
        <v>352</v>
      </c>
      <c r="F85" s="25"/>
      <c r="G85" s="25"/>
      <c r="H85" s="25"/>
      <c r="I85" s="25"/>
      <c r="L85" s="32">
        <v>22</v>
      </c>
      <c r="M85" s="33">
        <v>400.92</v>
      </c>
      <c r="N85" s="34"/>
    </row>
    <row r="86" spans="2:14" ht="12.75">
      <c r="B86" s="43"/>
      <c r="C86" s="37" t="s">
        <v>36</v>
      </c>
      <c r="D86" s="18" t="s">
        <v>359</v>
      </c>
      <c r="F86" s="25"/>
      <c r="G86" s="25"/>
      <c r="H86" s="25"/>
      <c r="I86" s="25"/>
      <c r="L86" s="39">
        <v>41</v>
      </c>
      <c r="M86" s="18">
        <v>256</v>
      </c>
      <c r="N86" s="34"/>
    </row>
    <row r="87" spans="2:14" ht="12.75">
      <c r="B87" s="43"/>
      <c r="C87" s="37" t="s">
        <v>36</v>
      </c>
      <c r="D87" s="18" t="s">
        <v>397</v>
      </c>
      <c r="F87" s="25"/>
      <c r="G87" s="25"/>
      <c r="H87" s="25"/>
      <c r="I87" s="25"/>
      <c r="L87" s="39">
        <v>41</v>
      </c>
      <c r="M87" s="18">
        <v>256</v>
      </c>
      <c r="N87" s="34"/>
    </row>
    <row r="88" spans="2:14" ht="12.75">
      <c r="B88" s="43"/>
      <c r="C88" s="37" t="s">
        <v>39</v>
      </c>
      <c r="D88" s="18" t="s">
        <v>397</v>
      </c>
      <c r="F88" s="25"/>
      <c r="G88" s="25"/>
      <c r="H88" s="25"/>
      <c r="I88" s="25"/>
      <c r="L88" s="39">
        <v>36</v>
      </c>
      <c r="M88" s="18">
        <v>296</v>
      </c>
      <c r="N88" s="34"/>
    </row>
    <row r="89" spans="2:14" ht="12.75">
      <c r="B89" s="43"/>
      <c r="C89" s="37" t="s">
        <v>35</v>
      </c>
      <c r="D89" s="18" t="s">
        <v>238</v>
      </c>
      <c r="F89" s="25"/>
      <c r="G89" s="25"/>
      <c r="H89" s="25"/>
      <c r="I89" s="25"/>
      <c r="L89" s="39">
        <v>24</v>
      </c>
      <c r="M89" s="18">
        <v>630</v>
      </c>
      <c r="N89" s="34"/>
    </row>
    <row r="90" spans="2:14" ht="12.75">
      <c r="B90" s="43"/>
      <c r="C90" s="37" t="s">
        <v>35</v>
      </c>
      <c r="D90" s="18" t="s">
        <v>352</v>
      </c>
      <c r="F90" s="25"/>
      <c r="G90" s="25"/>
      <c r="H90" s="25"/>
      <c r="I90" s="25"/>
      <c r="L90" s="32">
        <v>3</v>
      </c>
      <c r="M90" s="33">
        <v>1048.56</v>
      </c>
      <c r="N90" s="34"/>
    </row>
    <row r="91" spans="2:14" ht="12.75">
      <c r="B91" s="43"/>
      <c r="C91" s="37" t="s">
        <v>35</v>
      </c>
      <c r="D91" s="18" t="s">
        <v>397</v>
      </c>
      <c r="F91" s="25"/>
      <c r="G91" s="25"/>
      <c r="H91" s="25"/>
      <c r="I91" s="25"/>
      <c r="L91" s="39">
        <v>3</v>
      </c>
      <c r="M91" s="18">
        <v>2040</v>
      </c>
      <c r="N91" s="34"/>
    </row>
    <row r="92" spans="2:14" ht="12.75">
      <c r="B92" s="43"/>
      <c r="C92" s="37" t="s">
        <v>35</v>
      </c>
      <c r="D92" s="18" t="s">
        <v>426</v>
      </c>
      <c r="F92" s="25"/>
      <c r="G92" s="25"/>
      <c r="H92" s="25"/>
      <c r="I92" s="25"/>
      <c r="L92" s="32">
        <v>2</v>
      </c>
      <c r="M92" s="33">
        <v>1623.9840000000002</v>
      </c>
      <c r="N92" s="34"/>
    </row>
    <row r="93" spans="2:14" ht="12.75">
      <c r="B93" s="43"/>
      <c r="C93" s="37" t="s">
        <v>34</v>
      </c>
      <c r="D93" s="18" t="s">
        <v>352</v>
      </c>
      <c r="F93" s="25"/>
      <c r="G93" s="25"/>
      <c r="H93" s="25"/>
      <c r="I93" s="25"/>
      <c r="L93" s="32">
        <v>26</v>
      </c>
      <c r="M93" s="33">
        <v>355.688</v>
      </c>
      <c r="N93" s="34"/>
    </row>
    <row r="94" spans="2:14" ht="12.75">
      <c r="B94" s="43"/>
      <c r="C94" s="37" t="s">
        <v>34</v>
      </c>
      <c r="D94" s="18" t="s">
        <v>367</v>
      </c>
      <c r="F94" s="25"/>
      <c r="G94" s="25"/>
      <c r="H94" s="25"/>
      <c r="I94" s="25"/>
      <c r="L94" s="39">
        <v>42</v>
      </c>
      <c r="M94" s="18">
        <v>248</v>
      </c>
      <c r="N94" s="34"/>
    </row>
    <row r="95" spans="2:14" ht="12.75">
      <c r="B95" s="43"/>
      <c r="C95" s="37" t="s">
        <v>34</v>
      </c>
      <c r="D95" s="18" t="s">
        <v>397</v>
      </c>
      <c r="F95" s="25"/>
      <c r="G95" s="25"/>
      <c r="H95" s="25"/>
      <c r="I95" s="25"/>
      <c r="L95" s="39">
        <v>27</v>
      </c>
      <c r="M95" s="18">
        <v>684</v>
      </c>
      <c r="N95" s="34"/>
    </row>
    <row r="96" spans="2:14" ht="12.75">
      <c r="B96" s="43"/>
      <c r="C96" s="37" t="s">
        <v>34</v>
      </c>
      <c r="D96" s="18" t="s">
        <v>426</v>
      </c>
      <c r="F96" s="25"/>
      <c r="G96" s="25"/>
      <c r="H96" s="25"/>
      <c r="I96" s="25"/>
      <c r="L96" s="32">
        <v>32</v>
      </c>
      <c r="M96" s="33">
        <v>473.66200000000003</v>
      </c>
      <c r="N96" s="34"/>
    </row>
    <row r="97" spans="2:14" ht="12.75">
      <c r="B97" s="43"/>
      <c r="C97" s="37" t="s">
        <v>396</v>
      </c>
      <c r="D97" s="18" t="s">
        <v>397</v>
      </c>
      <c r="F97" s="25"/>
      <c r="G97" s="25"/>
      <c r="H97" s="25"/>
      <c r="I97" s="25"/>
      <c r="L97" s="39">
        <v>62</v>
      </c>
      <c r="M97" s="18">
        <v>88</v>
      </c>
      <c r="N97" s="34"/>
    </row>
    <row r="98" spans="2:14" ht="12.75">
      <c r="B98" s="43"/>
      <c r="C98" s="37" t="s">
        <v>103</v>
      </c>
      <c r="D98" s="18" t="s">
        <v>352</v>
      </c>
      <c r="F98" s="25"/>
      <c r="G98" s="25"/>
      <c r="H98" s="25"/>
      <c r="I98" s="25"/>
      <c r="L98" s="32">
        <v>30</v>
      </c>
      <c r="M98" s="33">
        <v>339.24</v>
      </c>
      <c r="N98" s="34"/>
    </row>
    <row r="99" spans="2:14" ht="12.75">
      <c r="B99" s="43"/>
      <c r="C99" s="37" t="s">
        <v>103</v>
      </c>
      <c r="D99" s="18" t="s">
        <v>367</v>
      </c>
      <c r="F99" s="25"/>
      <c r="G99" s="25"/>
      <c r="H99" s="25"/>
      <c r="I99" s="25"/>
      <c r="L99" s="39">
        <v>62</v>
      </c>
      <c r="M99" s="18">
        <v>88</v>
      </c>
      <c r="N99" s="34"/>
    </row>
    <row r="100" spans="2:14" ht="12.75">
      <c r="B100" s="43"/>
      <c r="C100" s="37" t="s">
        <v>103</v>
      </c>
      <c r="D100" s="18" t="s">
        <v>426</v>
      </c>
      <c r="F100" s="25"/>
      <c r="G100" s="25"/>
      <c r="H100" s="25"/>
      <c r="I100" s="25"/>
      <c r="L100" s="32">
        <v>28</v>
      </c>
      <c r="M100" s="33">
        <v>497.19800000000004</v>
      </c>
      <c r="N100" s="34"/>
    </row>
    <row r="101" spans="2:14" ht="12.75">
      <c r="B101" s="43"/>
      <c r="C101" s="37" t="s">
        <v>300</v>
      </c>
      <c r="D101" s="18" t="s">
        <v>397</v>
      </c>
      <c r="F101" s="25"/>
      <c r="G101" s="25"/>
      <c r="H101" s="25"/>
      <c r="I101" s="25"/>
      <c r="L101" s="39">
        <v>64</v>
      </c>
      <c r="M101" s="18">
        <v>72</v>
      </c>
      <c r="N101" s="34"/>
    </row>
  </sheetData>
  <printOptions horizontalCentered="1"/>
  <pageMargins left="0.25" right="0.25" top="0.95" bottom="0.95" header="0.25" footer="0.25"/>
  <pageSetup horizontalDpi="300" verticalDpi="300" orientation="landscape" r:id="rId1"/>
  <headerFooter alignWithMargins="0">
    <oddHeader>&amp;C&amp;"Times New Roman,Bold"&amp;16 2001-2002 USFA Point Standings
Senior &amp;A - Rolling Standings</oddHeader>
    <oddFooter>&amp;L&amp;"Arial,Bold"* Permanent Resident
# Junior&amp;"Arial,Regular"
Total = Best 3 plus Group II&amp;CPage &amp;P&amp;R&amp;"Arial,Bold"np = Did not earn points (including not competing)&amp;"Arial,Regular"
Printed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H76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8" customWidth="1"/>
    <col min="2" max="2" width="3.28125" style="18" customWidth="1"/>
    <col min="3" max="3" width="27.421875" style="37" customWidth="1"/>
    <col min="4" max="4" width="5.421875" style="18" customWidth="1"/>
    <col min="5" max="5" width="8.00390625" style="18" customWidth="1"/>
    <col min="6" max="7" width="5.7109375" style="19" customWidth="1"/>
    <col min="8" max="8" width="5.421875" style="19" customWidth="1"/>
    <col min="9" max="13" width="5.421875" style="28" customWidth="1"/>
    <col min="14" max="14" width="5.28125" style="29" customWidth="1"/>
    <col min="15" max="17" width="4.7109375" style="29" customWidth="1"/>
    <col min="18" max="18" width="9.140625" style="25" customWidth="1"/>
    <col min="19" max="34" width="9.140625" style="25" hidden="1" customWidth="1"/>
    <col min="35" max="16384" width="9.140625" style="25" customWidth="1"/>
  </cols>
  <sheetData>
    <row r="1" spans="1:17" s="8" customFormat="1" ht="12.75" customHeight="1">
      <c r="A1" s="35"/>
      <c r="B1" s="1"/>
      <c r="C1" s="2" t="s">
        <v>0</v>
      </c>
      <c r="D1" s="3" t="s">
        <v>1</v>
      </c>
      <c r="E1" s="3" t="s">
        <v>2</v>
      </c>
      <c r="F1" s="4" t="s">
        <v>3</v>
      </c>
      <c r="G1" s="5"/>
      <c r="H1" s="4" t="s">
        <v>245</v>
      </c>
      <c r="I1" s="6"/>
      <c r="J1" s="4" t="s">
        <v>310</v>
      </c>
      <c r="K1" s="6"/>
      <c r="L1" s="4" t="s">
        <v>382</v>
      </c>
      <c r="M1" s="6"/>
      <c r="N1" s="7" t="s">
        <v>4</v>
      </c>
      <c r="O1" s="7"/>
      <c r="P1" s="7"/>
      <c r="Q1" s="6"/>
    </row>
    <row r="2" spans="1:27" s="8" customFormat="1" ht="18.75" customHeight="1">
      <c r="A2" s="1"/>
      <c r="B2" s="1"/>
      <c r="C2" s="2"/>
      <c r="D2" s="2"/>
      <c r="E2" s="3"/>
      <c r="F2" s="4" t="s">
        <v>376</v>
      </c>
      <c r="G2" s="9" t="s">
        <v>377</v>
      </c>
      <c r="H2" s="4" t="s">
        <v>236</v>
      </c>
      <c r="I2" s="6" t="s">
        <v>246</v>
      </c>
      <c r="J2" s="4" t="s">
        <v>236</v>
      </c>
      <c r="K2" s="6" t="s">
        <v>311</v>
      </c>
      <c r="L2" s="4" t="s">
        <v>381</v>
      </c>
      <c r="M2" s="6" t="s">
        <v>383</v>
      </c>
      <c r="N2" s="4" t="s">
        <v>4</v>
      </c>
      <c r="O2" s="7"/>
      <c r="P2" s="10"/>
      <c r="Q2" s="11"/>
      <c r="AA2" s="12"/>
    </row>
    <row r="3" spans="1:17" s="8" customFormat="1" ht="11.25" customHeight="1" hidden="1">
      <c r="A3" s="1"/>
      <c r="B3" s="1"/>
      <c r="C3" s="2"/>
      <c r="D3" s="2"/>
      <c r="E3" s="2"/>
      <c r="F3" s="13"/>
      <c r="G3" s="14"/>
      <c r="H3" s="14">
        <f>COLUMN()</f>
        <v>8</v>
      </c>
      <c r="I3" s="15">
        <f>HLOOKUP(H2,PointTableHeader,2,FALSE)</f>
        <v>9</v>
      </c>
      <c r="J3" s="14">
        <f>COLUMN()</f>
        <v>10</v>
      </c>
      <c r="K3" s="15">
        <f>HLOOKUP(J2,PointTableHeader,2,FALSE)</f>
        <v>9</v>
      </c>
      <c r="L3" s="14">
        <f>COLUMN()</f>
        <v>12</v>
      </c>
      <c r="M3" s="15">
        <f>HLOOKUP(L2,PointTableHeader,2,FALSE)</f>
        <v>8</v>
      </c>
      <c r="N3" s="14">
        <f>COLUMN()</f>
        <v>14</v>
      </c>
      <c r="O3" s="3"/>
      <c r="P3" s="3"/>
      <c r="Q3" s="15"/>
    </row>
    <row r="4" spans="1:34" ht="13.5">
      <c r="A4" s="16" t="str">
        <f>IF(E4&lt;MinimumSr,"",IF(E4=E3,A3,ROW()-3&amp;IF(E4=E5,"T","")))</f>
        <v>1</v>
      </c>
      <c r="B4" s="16">
        <f aca="true" t="shared" si="0" ref="B4:B35">TRIM(IF(D4&gt;=JuniorCutoff,"#",""))</f>
      </c>
      <c r="C4" s="17" t="s">
        <v>52</v>
      </c>
      <c r="D4" s="18">
        <v>1969</v>
      </c>
      <c r="E4" s="19">
        <f>ROUND(F4+IF('Men''s Epée'!$A$3=1,G4,0)+LARGE($S4:$Y4,1)+LARGE($S4:$Y4,2),0)</f>
        <v>2565</v>
      </c>
      <c r="F4" s="20">
        <v>885.352</v>
      </c>
      <c r="G4" s="21"/>
      <c r="H4" s="21">
        <v>5</v>
      </c>
      <c r="I4" s="22">
        <f>IF(OR('Men''s Epée'!$A$3=1,'Men''s Epée'!$S$3=TRUE),IF(OR(H4&gt;=49,ISNUMBER(H4)=FALSE),0,VLOOKUP(H4,PointTable,I$3,TRUE)),0)</f>
        <v>755</v>
      </c>
      <c r="J4" s="21">
        <v>2</v>
      </c>
      <c r="K4" s="22">
        <f>IF(OR('Men''s Epée'!$A$3=1,'Men''s Epée'!$T$3=TRUE),IF(OR(J4&gt;=49,ISNUMBER(J4)=FALSE),0,VLOOKUP(J4,PointTable,K$3,TRUE)),0)</f>
        <v>925</v>
      </c>
      <c r="L4" s="21">
        <v>11</v>
      </c>
      <c r="M4" s="22">
        <f>IF(OR('Men''s Epée'!$A$3=1,'Men''s Epée'!$U$3=TRUE),IF(OR(L4&gt;=49,ISNUMBER(L4)=FALSE),0,VLOOKUP(L4,PointTable,M$3,TRUE)),0)</f>
        <v>525</v>
      </c>
      <c r="N4" s="23"/>
      <c r="O4" s="23"/>
      <c r="P4" s="23"/>
      <c r="Q4" s="24"/>
      <c r="S4" s="25">
        <f aca="true" t="shared" si="1" ref="S4:S23">I4</f>
        <v>755</v>
      </c>
      <c r="T4" s="25">
        <f aca="true" t="shared" si="2" ref="T4:T23">K4</f>
        <v>925</v>
      </c>
      <c r="U4" s="25">
        <f aca="true" t="shared" si="3" ref="U4:U23">M4</f>
        <v>525</v>
      </c>
      <c r="V4" s="25">
        <f>IF(OR('Men''s Epée'!$A$3=1,N4&gt;0),ABS(N4),0)</f>
        <v>0</v>
      </c>
      <c r="W4" s="25">
        <f>IF(OR('Men''s Epée'!$A$3=1,O4&gt;0),ABS(O4),0)</f>
        <v>0</v>
      </c>
      <c r="X4" s="25">
        <f>IF(OR('Men''s Epée'!$A$3=1,P4&gt;0),ABS(P4),0)</f>
        <v>0</v>
      </c>
      <c r="Y4" s="25">
        <f>IF(OR('Men''s Epée'!$A$3=1,Q4&gt;0),ABS(Q4),0)</f>
        <v>0</v>
      </c>
      <c r="AA4" s="12">
        <f>IF('Men''s Epée'!$S$3=TRUE,I4,0)</f>
        <v>755</v>
      </c>
      <c r="AB4" s="12">
        <f>IF('Men''s Epée'!$T$3=TRUE,K4,0)</f>
        <v>925</v>
      </c>
      <c r="AC4" s="12">
        <f>IF('Men''s Epée'!$U$3=TRUE,M4,0)</f>
        <v>525</v>
      </c>
      <c r="AD4" s="26">
        <f aca="true" t="shared" si="4" ref="AD4:AD23">MAX(N4,0)</f>
        <v>0</v>
      </c>
      <c r="AE4" s="26">
        <f aca="true" t="shared" si="5" ref="AE4:AE23">MAX(O4,0)</f>
        <v>0</v>
      </c>
      <c r="AF4" s="26">
        <f aca="true" t="shared" si="6" ref="AF4:AF23">MAX(P4,0)</f>
        <v>0</v>
      </c>
      <c r="AG4" s="26">
        <f aca="true" t="shared" si="7" ref="AG4:AG23">MAX(Q4,0)</f>
        <v>0</v>
      </c>
      <c r="AH4" s="12">
        <f>ROUND(LARGE(AA4:AG4,1)+LARGE(AA4:AG4,2)+F4,0)</f>
        <v>2565</v>
      </c>
    </row>
    <row r="5" spans="1:34" ht="13.5">
      <c r="A5" s="16" t="str">
        <f aca="true" t="shared" si="8" ref="A5:A61">IF(E5&lt;MinimumSr,"",IF(E5=E4,A4,ROW()-3&amp;IF(E5=E6,"T","")))</f>
        <v>2</v>
      </c>
      <c r="B5" s="16" t="str">
        <f t="shared" si="0"/>
        <v>#</v>
      </c>
      <c r="C5" s="17" t="s">
        <v>195</v>
      </c>
      <c r="D5" s="18">
        <v>1984</v>
      </c>
      <c r="E5" s="19">
        <f>ROUND(F5+IF('Men''s Epée'!$A$3=1,G5,0)+LARGE($S5:$Y5,1)+LARGE($S5:$Y5,2),0)</f>
        <v>2253</v>
      </c>
      <c r="F5" s="20">
        <v>562.856</v>
      </c>
      <c r="G5" s="21"/>
      <c r="H5" s="21" t="s">
        <v>5</v>
      </c>
      <c r="I5" s="22">
        <f>IF(OR('Men''s Epée'!$A$3=1,'Men''s Epée'!$S$3=TRUE),IF(OR(H5&gt;=49,ISNUMBER(H5)=FALSE),0,VLOOKUP(H5,PointTable,I$3,TRUE)),0)</f>
        <v>0</v>
      </c>
      <c r="J5" s="21">
        <v>3</v>
      </c>
      <c r="K5" s="22">
        <f>IF(OR('Men''s Epée'!$A$3=1,'Men''s Epée'!$T$3=TRUE),IF(OR(J5&gt;=49,ISNUMBER(J5)=FALSE),0,VLOOKUP(J5,PointTable,K$3,TRUE)),0)</f>
        <v>840</v>
      </c>
      <c r="L5" s="21">
        <v>3</v>
      </c>
      <c r="M5" s="22">
        <f>IF(OR('Men''s Epée'!$A$3=1,'Men''s Epée'!$U$3=TRUE),IF(OR(L5&gt;=49,ISNUMBER(L5)=FALSE),0,VLOOKUP(L5,PointTable,M$3,TRUE)),0)</f>
        <v>850</v>
      </c>
      <c r="N5" s="23"/>
      <c r="O5" s="23"/>
      <c r="P5" s="23"/>
      <c r="Q5" s="24"/>
      <c r="S5" s="25">
        <f t="shared" si="1"/>
        <v>0</v>
      </c>
      <c r="T5" s="25">
        <f t="shared" si="2"/>
        <v>840</v>
      </c>
      <c r="U5" s="25">
        <f t="shared" si="3"/>
        <v>850</v>
      </c>
      <c r="V5" s="25">
        <f>IF(OR('Men''s Epée'!$A$3=1,N5&gt;0),ABS(N5),0)</f>
        <v>0</v>
      </c>
      <c r="W5" s="25">
        <f>IF(OR('Men''s Epée'!$A$3=1,O5&gt;0),ABS(O5),0)</f>
        <v>0</v>
      </c>
      <c r="X5" s="25">
        <f>IF(OR('Men''s Epée'!$A$3=1,P5&gt;0),ABS(P5),0)</f>
        <v>0</v>
      </c>
      <c r="Y5" s="25">
        <f>IF(OR('Men''s Epée'!$A$3=1,Q5&gt;0),ABS(Q5),0)</f>
        <v>0</v>
      </c>
      <c r="AA5" s="12">
        <f>IF('Men''s Epée'!$S$3=TRUE,I5,0)</f>
        <v>0</v>
      </c>
      <c r="AB5" s="12">
        <f>IF('Men''s Epée'!$T$3=TRUE,K5,0)</f>
        <v>840</v>
      </c>
      <c r="AC5" s="12">
        <f>IF('Men''s Epée'!$U$3=TRUE,M5,0)</f>
        <v>850</v>
      </c>
      <c r="AD5" s="26">
        <f t="shared" si="4"/>
        <v>0</v>
      </c>
      <c r="AE5" s="26">
        <f t="shared" si="5"/>
        <v>0</v>
      </c>
      <c r="AF5" s="26">
        <f t="shared" si="6"/>
        <v>0</v>
      </c>
      <c r="AG5" s="26">
        <f t="shared" si="7"/>
        <v>0</v>
      </c>
      <c r="AH5" s="12">
        <f aca="true" t="shared" si="9" ref="AH5:AH47">ROUND(LARGE(AA5:AG5,1)+LARGE(AA5:AG5,2)+F5,0)</f>
        <v>2253</v>
      </c>
    </row>
    <row r="6" spans="1:34" ht="13.5">
      <c r="A6" s="16" t="str">
        <f t="shared" si="8"/>
        <v>3</v>
      </c>
      <c r="B6" s="16">
        <f t="shared" si="0"/>
      </c>
      <c r="C6" s="17" t="s">
        <v>141</v>
      </c>
      <c r="D6" s="18">
        <v>1975</v>
      </c>
      <c r="E6" s="19">
        <f>ROUND(F6+IF('Men''s Epée'!$A$3=1,G6,0)+LARGE($S6:$Y6,1)+LARGE($S6:$Y6,2),0)</f>
        <v>2158</v>
      </c>
      <c r="F6" s="20">
        <v>622.8</v>
      </c>
      <c r="G6" s="21"/>
      <c r="H6" s="21">
        <v>3</v>
      </c>
      <c r="I6" s="22">
        <f>IF(OR('Men''s Epée'!$A$3=1,'Men''s Epée'!$S$3=TRUE),IF(OR(H6&gt;=49,ISNUMBER(H6)=FALSE),0,VLOOKUP(H6,PointTable,I$3,TRUE)),0)</f>
        <v>840</v>
      </c>
      <c r="J6" s="21">
        <v>9</v>
      </c>
      <c r="K6" s="22">
        <f>IF(OR('Men''s Epée'!$A$3=1,'Men''s Epée'!$T$3=TRUE),IF(OR(J6&gt;=49,ISNUMBER(J6)=FALSE),0,VLOOKUP(J6,PointTable,K$3,TRUE)),0)</f>
        <v>620</v>
      </c>
      <c r="L6" s="21">
        <v>6</v>
      </c>
      <c r="M6" s="22">
        <f>IF(OR('Men''s Epée'!$A$3=1,'Men''s Epée'!$U$3=TRUE),IF(OR(L6&gt;=49,ISNUMBER(L6)=FALSE),0,VLOOKUP(L6,PointTable,M$3,TRUE)),0)</f>
        <v>695</v>
      </c>
      <c r="N6" s="23"/>
      <c r="O6" s="23"/>
      <c r="P6" s="23"/>
      <c r="Q6" s="24"/>
      <c r="S6" s="25">
        <f t="shared" si="1"/>
        <v>840</v>
      </c>
      <c r="T6" s="25">
        <f t="shared" si="2"/>
        <v>620</v>
      </c>
      <c r="U6" s="25">
        <f t="shared" si="3"/>
        <v>695</v>
      </c>
      <c r="V6" s="25">
        <f>IF(OR('Men''s Epée'!$A$3=1,N6&gt;0),ABS(N6),0)</f>
        <v>0</v>
      </c>
      <c r="W6" s="25">
        <f>IF(OR('Men''s Epée'!$A$3=1,O6&gt;0),ABS(O6),0)</f>
        <v>0</v>
      </c>
      <c r="X6" s="25">
        <f>IF(OR('Men''s Epée'!$A$3=1,P6&gt;0),ABS(P6),0)</f>
        <v>0</v>
      </c>
      <c r="Y6" s="25">
        <f>IF(OR('Men''s Epée'!$A$3=1,Q6&gt;0),ABS(Q6),0)</f>
        <v>0</v>
      </c>
      <c r="AA6" s="12">
        <f>IF('Men''s Epée'!$S$3=TRUE,I6,0)</f>
        <v>840</v>
      </c>
      <c r="AB6" s="12">
        <f>IF('Men''s Epée'!$T$3=TRUE,K6,0)</f>
        <v>620</v>
      </c>
      <c r="AC6" s="12">
        <f>IF('Men''s Epée'!$U$3=TRUE,M6,0)</f>
        <v>695</v>
      </c>
      <c r="AD6" s="26">
        <f t="shared" si="4"/>
        <v>0</v>
      </c>
      <c r="AE6" s="26">
        <f t="shared" si="5"/>
        <v>0</v>
      </c>
      <c r="AF6" s="26">
        <f t="shared" si="6"/>
        <v>0</v>
      </c>
      <c r="AG6" s="26">
        <f t="shared" si="7"/>
        <v>0</v>
      </c>
      <c r="AH6" s="12">
        <f t="shared" si="9"/>
        <v>2158</v>
      </c>
    </row>
    <row r="7" spans="1:34" ht="13.5">
      <c r="A7" s="16" t="str">
        <f t="shared" si="8"/>
        <v>4</v>
      </c>
      <c r="B7" s="16">
        <f t="shared" si="0"/>
      </c>
      <c r="C7" s="17" t="s">
        <v>417</v>
      </c>
      <c r="D7" s="36">
        <v>1971</v>
      </c>
      <c r="E7" s="19">
        <f>ROUND(F7+IF('Men''s Epée'!$A$3=1,G7,0)+LARGE($S7:$Y7,1)+LARGE($S7:$Y7,2),0)</f>
        <v>1840</v>
      </c>
      <c r="F7" s="20"/>
      <c r="G7" s="21"/>
      <c r="H7" s="21">
        <v>1</v>
      </c>
      <c r="I7" s="22">
        <f>IF(OR('Men''s Epée'!$A$3=1,'Men''s Epée'!$S$3=TRUE),IF(OR(H7&gt;=49,ISNUMBER(H7)=FALSE),0,VLOOKUP(H7,PointTable,I$3,TRUE)),0)</f>
        <v>1000</v>
      </c>
      <c r="J7" s="21">
        <v>3</v>
      </c>
      <c r="K7" s="22">
        <f>IF(OR('Men''s Epée'!$A$3=1,'Men''s Epée'!$T$3=TRUE),IF(OR(J7&gt;=49,ISNUMBER(J7)=FALSE),0,VLOOKUP(J7,PointTable,K$3,TRUE)),0)</f>
        <v>840</v>
      </c>
      <c r="L7" s="21">
        <v>17</v>
      </c>
      <c r="M7" s="22">
        <f>IF(OR('Men''s Epée'!$A$3=1,'Men''s Epée'!$U$3=TRUE),IF(OR(L7&gt;=49,ISNUMBER(L7)=FALSE),0,VLOOKUP(L7,PointTable,M$3,TRUE)),0)</f>
        <v>350</v>
      </c>
      <c r="N7" s="23"/>
      <c r="O7" s="23"/>
      <c r="P7" s="23"/>
      <c r="Q7" s="24"/>
      <c r="S7" s="25">
        <f t="shared" si="1"/>
        <v>1000</v>
      </c>
      <c r="T7" s="25">
        <f t="shared" si="2"/>
        <v>840</v>
      </c>
      <c r="U7" s="25">
        <f t="shared" si="3"/>
        <v>350</v>
      </c>
      <c r="V7" s="25">
        <f>IF(OR('Men''s Epée'!$A$3=1,N7&gt;0),ABS(N7),0)</f>
        <v>0</v>
      </c>
      <c r="W7" s="25">
        <f>IF(OR('Men''s Epée'!$A$3=1,O7&gt;0),ABS(O7),0)</f>
        <v>0</v>
      </c>
      <c r="X7" s="25">
        <f>IF(OR('Men''s Epée'!$A$3=1,P7&gt;0),ABS(P7),0)</f>
        <v>0</v>
      </c>
      <c r="Y7" s="25">
        <f>IF(OR('Men''s Epée'!$A$3=1,Q7&gt;0),ABS(Q7),0)</f>
        <v>0</v>
      </c>
      <c r="AA7" s="12">
        <f>IF('Men''s Epée'!$S$3=TRUE,I7,0)</f>
        <v>1000</v>
      </c>
      <c r="AB7" s="12">
        <f>IF('Men''s Epée'!$T$3=TRUE,K7,0)</f>
        <v>840</v>
      </c>
      <c r="AC7" s="12">
        <f>IF('Men''s Epée'!$U$3=TRUE,M7,0)</f>
        <v>350</v>
      </c>
      <c r="AD7" s="26">
        <f t="shared" si="4"/>
        <v>0</v>
      </c>
      <c r="AE7" s="26">
        <f t="shared" si="5"/>
        <v>0</v>
      </c>
      <c r="AF7" s="26">
        <f t="shared" si="6"/>
        <v>0</v>
      </c>
      <c r="AG7" s="26">
        <f t="shared" si="7"/>
        <v>0</v>
      </c>
      <c r="AH7" s="12">
        <f t="shared" si="9"/>
        <v>1840</v>
      </c>
    </row>
    <row r="8" spans="1:34" ht="13.5">
      <c r="A8" s="16" t="str">
        <f t="shared" si="8"/>
        <v>5</v>
      </c>
      <c r="B8" s="16">
        <f t="shared" si="0"/>
      </c>
      <c r="C8" s="27" t="s">
        <v>60</v>
      </c>
      <c r="D8" s="18">
        <v>1982</v>
      </c>
      <c r="E8" s="19">
        <f>ROUND(F8+IF('Men''s Epée'!$A$3=1,G8,0)+LARGE($S8:$Y8,1)+LARGE($S8:$Y8,2),0)</f>
        <v>1715</v>
      </c>
      <c r="F8" s="20"/>
      <c r="G8" s="21"/>
      <c r="H8" s="21">
        <v>7</v>
      </c>
      <c r="I8" s="22">
        <f>IF(OR('Men''s Epée'!$A$3=1,'Men''s Epée'!$S$3=TRUE),IF(OR(H8&gt;=49,ISNUMBER(H8)=FALSE),0,VLOOKUP(H8,PointTable,I$3,TRUE)),0)</f>
        <v>715</v>
      </c>
      <c r="J8" s="21">
        <v>7</v>
      </c>
      <c r="K8" s="22">
        <f>IF(OR('Men''s Epée'!$A$3=1,'Men''s Epée'!$T$3=TRUE),IF(OR(J8&gt;=49,ISNUMBER(J8)=FALSE),0,VLOOKUP(J8,PointTable,K$3,TRUE)),0)</f>
        <v>715</v>
      </c>
      <c r="L8" s="21">
        <v>1</v>
      </c>
      <c r="M8" s="22">
        <f>IF(OR('Men''s Epée'!$A$3=1,'Men''s Epée'!$U$3=TRUE),IF(OR(L8&gt;=49,ISNUMBER(L8)=FALSE),0,VLOOKUP(L8,PointTable,M$3,TRUE)),0)</f>
        <v>1000</v>
      </c>
      <c r="N8" s="23"/>
      <c r="O8" s="23"/>
      <c r="P8" s="23"/>
      <c r="Q8" s="24"/>
      <c r="S8" s="25">
        <f t="shared" si="1"/>
        <v>715</v>
      </c>
      <c r="T8" s="25">
        <f t="shared" si="2"/>
        <v>715</v>
      </c>
      <c r="U8" s="25">
        <f t="shared" si="3"/>
        <v>1000</v>
      </c>
      <c r="V8" s="25">
        <f>IF(OR('Men''s Epée'!$A$3=1,N8&gt;0),ABS(N8),0)</f>
        <v>0</v>
      </c>
      <c r="W8" s="25">
        <f>IF(OR('Men''s Epée'!$A$3=1,O8&gt;0),ABS(O8),0)</f>
        <v>0</v>
      </c>
      <c r="X8" s="25">
        <f>IF(OR('Men''s Epée'!$A$3=1,P8&gt;0),ABS(P8),0)</f>
        <v>0</v>
      </c>
      <c r="Y8" s="25">
        <f>IF(OR('Men''s Epée'!$A$3=1,Q8&gt;0),ABS(Q8),0)</f>
        <v>0</v>
      </c>
      <c r="AA8" s="12">
        <f>IF('Men''s Epée'!$S$3=TRUE,I8,0)</f>
        <v>715</v>
      </c>
      <c r="AB8" s="12">
        <f>IF('Men''s Epée'!$T$3=TRUE,K8,0)</f>
        <v>715</v>
      </c>
      <c r="AC8" s="12">
        <f>IF('Men''s Epée'!$U$3=TRUE,M8,0)</f>
        <v>1000</v>
      </c>
      <c r="AD8" s="26">
        <f t="shared" si="4"/>
        <v>0</v>
      </c>
      <c r="AE8" s="26">
        <f t="shared" si="5"/>
        <v>0</v>
      </c>
      <c r="AF8" s="26">
        <f t="shared" si="6"/>
        <v>0</v>
      </c>
      <c r="AG8" s="26">
        <f t="shared" si="7"/>
        <v>0</v>
      </c>
      <c r="AH8" s="12">
        <f t="shared" si="9"/>
        <v>1715</v>
      </c>
    </row>
    <row r="9" spans="1:34" ht="13.5">
      <c r="A9" s="16" t="str">
        <f t="shared" si="8"/>
        <v>6</v>
      </c>
      <c r="B9" s="16">
        <f t="shared" si="0"/>
      </c>
      <c r="C9" s="17" t="s">
        <v>56</v>
      </c>
      <c r="D9" s="18">
        <v>1969</v>
      </c>
      <c r="E9" s="19">
        <f>ROUND(F9+IF('Men''s Epée'!$A$3=1,G9,0)+LARGE($S9:$Y9,1)+LARGE($S9:$Y9,2),0)</f>
        <v>1653</v>
      </c>
      <c r="F9" s="20">
        <v>768</v>
      </c>
      <c r="G9" s="21"/>
      <c r="H9" s="21">
        <v>9</v>
      </c>
      <c r="I9" s="22">
        <f>IF(OR('Men''s Epée'!$A$3=1,'Men''s Epée'!$S$3=TRUE),IF(OR(H9&gt;=49,ISNUMBER(H9)=FALSE),0,VLOOKUP(H9,PointTable,I$3,TRUE)),0)</f>
        <v>620</v>
      </c>
      <c r="J9" s="21">
        <v>35</v>
      </c>
      <c r="K9" s="22">
        <f>IF(OR('Men''s Epée'!$A$3=1,'Men''s Epée'!$T$3=TRUE),IF(OR(J9&gt;=49,ISNUMBER(J9)=FALSE),0,VLOOKUP(J9,PointTable,K$3,TRUE)),0)</f>
        <v>265</v>
      </c>
      <c r="L9" s="21" t="s">
        <v>5</v>
      </c>
      <c r="M9" s="22">
        <f>IF(OR('Men''s Epée'!$A$3=1,'Men''s Epée'!$U$3=TRUE),IF(OR(L9&gt;=49,ISNUMBER(L9)=FALSE),0,VLOOKUP(L9,PointTable,M$3,TRUE)),0)</f>
        <v>0</v>
      </c>
      <c r="N9" s="23"/>
      <c r="O9" s="23"/>
      <c r="P9" s="23"/>
      <c r="Q9" s="24"/>
      <c r="S9" s="25">
        <f t="shared" si="1"/>
        <v>620</v>
      </c>
      <c r="T9" s="25">
        <f t="shared" si="2"/>
        <v>265</v>
      </c>
      <c r="U9" s="25">
        <f t="shared" si="3"/>
        <v>0</v>
      </c>
      <c r="V9" s="25">
        <f>IF(OR('Men''s Epée'!$A$3=1,N9&gt;0),ABS(N9),0)</f>
        <v>0</v>
      </c>
      <c r="W9" s="25">
        <f>IF(OR('Men''s Epée'!$A$3=1,O9&gt;0),ABS(O9),0)</f>
        <v>0</v>
      </c>
      <c r="X9" s="25">
        <f>IF(OR('Men''s Epée'!$A$3=1,P9&gt;0),ABS(P9),0)</f>
        <v>0</v>
      </c>
      <c r="Y9" s="25">
        <f>IF(OR('Men''s Epée'!$A$3=1,Q9&gt;0),ABS(Q9),0)</f>
        <v>0</v>
      </c>
      <c r="AA9" s="12">
        <f>IF('Men''s Epée'!$S$3=TRUE,I9,0)</f>
        <v>620</v>
      </c>
      <c r="AB9" s="12">
        <f>IF('Men''s Epée'!$T$3=TRUE,K9,0)</f>
        <v>265</v>
      </c>
      <c r="AC9" s="12">
        <f>IF('Men''s Epée'!$U$3=TRUE,M9,0)</f>
        <v>0</v>
      </c>
      <c r="AD9" s="26">
        <f t="shared" si="4"/>
        <v>0</v>
      </c>
      <c r="AE9" s="26">
        <f t="shared" si="5"/>
        <v>0</v>
      </c>
      <c r="AF9" s="26">
        <f t="shared" si="6"/>
        <v>0</v>
      </c>
      <c r="AG9" s="26">
        <f t="shared" si="7"/>
        <v>0</v>
      </c>
      <c r="AH9" s="12">
        <f t="shared" si="9"/>
        <v>1653</v>
      </c>
    </row>
    <row r="10" spans="1:34" ht="13.5">
      <c r="A10" s="16" t="str">
        <f t="shared" si="8"/>
        <v>7</v>
      </c>
      <c r="B10" s="16" t="str">
        <f t="shared" si="0"/>
        <v>#</v>
      </c>
      <c r="C10" s="17" t="s">
        <v>174</v>
      </c>
      <c r="D10" s="18">
        <v>1985</v>
      </c>
      <c r="E10" s="19">
        <f>ROUND(F10+IF('Men''s Epée'!$A$3=1,G10,0)+LARGE($S10:$Y10,1)+LARGE($S10:$Y10,2),0)</f>
        <v>1470</v>
      </c>
      <c r="F10" s="20"/>
      <c r="G10" s="21"/>
      <c r="H10" s="21">
        <v>6</v>
      </c>
      <c r="I10" s="22">
        <f>IF(OR('Men''s Epée'!$A$3=1,'Men''s Epée'!$S$3=TRUE),IF(OR(H10&gt;=49,ISNUMBER(H10)=FALSE),0,VLOOKUP(H10,PointTable,I$3,TRUE)),0)</f>
        <v>735</v>
      </c>
      <c r="J10" s="21">
        <v>6</v>
      </c>
      <c r="K10" s="22">
        <f>IF(OR('Men''s Epée'!$A$3=1,'Men''s Epée'!$T$3=TRUE),IF(OR(J10&gt;=49,ISNUMBER(J10)=FALSE),0,VLOOKUP(J10,PointTable,K$3,TRUE)),0)</f>
        <v>735</v>
      </c>
      <c r="L10" s="21" t="s">
        <v>5</v>
      </c>
      <c r="M10" s="22">
        <f>IF(OR('Men''s Epée'!$A$3=1,'Men''s Epée'!$U$3=TRUE),IF(OR(L10&gt;=49,ISNUMBER(L10)=FALSE),0,VLOOKUP(L10,PointTable,M$3,TRUE)),0)</f>
        <v>0</v>
      </c>
      <c r="N10" s="23"/>
      <c r="O10" s="23"/>
      <c r="P10" s="23"/>
      <c r="Q10" s="24"/>
      <c r="S10" s="25">
        <f t="shared" si="1"/>
        <v>735</v>
      </c>
      <c r="T10" s="25">
        <f t="shared" si="2"/>
        <v>735</v>
      </c>
      <c r="U10" s="25">
        <f t="shared" si="3"/>
        <v>0</v>
      </c>
      <c r="V10" s="25">
        <f>IF(OR('Men''s Epée'!$A$3=1,N10&gt;0),ABS(N10),0)</f>
        <v>0</v>
      </c>
      <c r="W10" s="25">
        <f>IF(OR('Men''s Epée'!$A$3=1,O10&gt;0),ABS(O10),0)</f>
        <v>0</v>
      </c>
      <c r="X10" s="25">
        <f>IF(OR('Men''s Epée'!$A$3=1,P10&gt;0),ABS(P10),0)</f>
        <v>0</v>
      </c>
      <c r="Y10" s="25">
        <f>IF(OR('Men''s Epée'!$A$3=1,Q10&gt;0),ABS(Q10),0)</f>
        <v>0</v>
      </c>
      <c r="AA10" s="12">
        <f>IF('Men''s Epée'!$S$3=TRUE,I10,0)</f>
        <v>735</v>
      </c>
      <c r="AB10" s="12">
        <f>IF('Men''s Epée'!$T$3=TRUE,K10,0)</f>
        <v>735</v>
      </c>
      <c r="AC10" s="12">
        <f>IF('Men''s Epée'!$U$3=TRUE,M10,0)</f>
        <v>0</v>
      </c>
      <c r="AD10" s="26">
        <f t="shared" si="4"/>
        <v>0</v>
      </c>
      <c r="AE10" s="26">
        <f t="shared" si="5"/>
        <v>0</v>
      </c>
      <c r="AF10" s="26">
        <f t="shared" si="6"/>
        <v>0</v>
      </c>
      <c r="AG10" s="26">
        <f t="shared" si="7"/>
        <v>0</v>
      </c>
      <c r="AH10" s="12">
        <f t="shared" si="9"/>
        <v>1470</v>
      </c>
    </row>
    <row r="11" spans="1:34" ht="13.5">
      <c r="A11" s="16" t="str">
        <f t="shared" si="8"/>
        <v>8</v>
      </c>
      <c r="B11" s="16">
        <f t="shared" si="0"/>
      </c>
      <c r="C11" s="17" t="s">
        <v>234</v>
      </c>
      <c r="D11" s="18">
        <v>1970</v>
      </c>
      <c r="E11" s="19">
        <f>ROUND(F11+IF('Men''s Epée'!$A$3=1,G11,0)+LARGE($S11:$Y11,1)+LARGE($S11:$Y11,2),0)</f>
        <v>1345</v>
      </c>
      <c r="F11" s="20"/>
      <c r="G11" s="21"/>
      <c r="H11" s="21" t="s">
        <v>5</v>
      </c>
      <c r="I11" s="22">
        <f>IF(OR('Men''s Epée'!$A$3=1,'Men''s Epée'!$S$3=TRUE),IF(OR(H11&gt;=49,ISNUMBER(H11)=FALSE),0,VLOOKUP(H11,PointTable,I$3,TRUE)),0)</f>
        <v>0</v>
      </c>
      <c r="J11" s="21">
        <v>15</v>
      </c>
      <c r="K11" s="22">
        <f>IF(OR('Men''s Epée'!$A$3=1,'Men''s Epée'!$T$3=TRUE),IF(OR(J11&gt;=49,ISNUMBER(J11)=FALSE),0,VLOOKUP(J11,PointTable,K$3,TRUE)),0)</f>
        <v>495</v>
      </c>
      <c r="L11" s="21">
        <v>3</v>
      </c>
      <c r="M11" s="22">
        <f>IF(OR('Men''s Epée'!$A$3=1,'Men''s Epée'!$U$3=TRUE),IF(OR(L11&gt;=49,ISNUMBER(L11)=FALSE),0,VLOOKUP(L11,PointTable,M$3,TRUE)),0)</f>
        <v>850</v>
      </c>
      <c r="N11" s="23"/>
      <c r="O11" s="23"/>
      <c r="P11" s="23"/>
      <c r="Q11" s="24"/>
      <c r="S11" s="25">
        <f t="shared" si="1"/>
        <v>0</v>
      </c>
      <c r="T11" s="25">
        <f t="shared" si="2"/>
        <v>495</v>
      </c>
      <c r="U11" s="25">
        <f t="shared" si="3"/>
        <v>850</v>
      </c>
      <c r="V11" s="25">
        <f>IF(OR('Men''s Epée'!$A$3=1,N11&gt;0),ABS(N11),0)</f>
        <v>0</v>
      </c>
      <c r="W11" s="25">
        <f>IF(OR('Men''s Epée'!$A$3=1,O11&gt;0),ABS(O11),0)</f>
        <v>0</v>
      </c>
      <c r="X11" s="25">
        <f>IF(OR('Men''s Epée'!$A$3=1,P11&gt;0),ABS(P11),0)</f>
        <v>0</v>
      </c>
      <c r="Y11" s="25">
        <f>IF(OR('Men''s Epée'!$A$3=1,Q11&gt;0),ABS(Q11),0)</f>
        <v>0</v>
      </c>
      <c r="AA11" s="12">
        <f>IF('Men''s Epée'!$S$3=TRUE,I11,0)</f>
        <v>0</v>
      </c>
      <c r="AB11" s="12">
        <f>IF('Men''s Epée'!$T$3=TRUE,K11,0)</f>
        <v>495</v>
      </c>
      <c r="AC11" s="12">
        <f>IF('Men''s Epée'!$U$3=TRUE,M11,0)</f>
        <v>850</v>
      </c>
      <c r="AD11" s="26">
        <f t="shared" si="4"/>
        <v>0</v>
      </c>
      <c r="AE11" s="26">
        <f t="shared" si="5"/>
        <v>0</v>
      </c>
      <c r="AF11" s="26">
        <f t="shared" si="6"/>
        <v>0</v>
      </c>
      <c r="AG11" s="26">
        <f t="shared" si="7"/>
        <v>0</v>
      </c>
      <c r="AH11" s="12">
        <f t="shared" si="9"/>
        <v>1345</v>
      </c>
    </row>
    <row r="12" spans="1:34" ht="13.5">
      <c r="A12" s="16" t="str">
        <f t="shared" si="8"/>
        <v>9</v>
      </c>
      <c r="B12" s="16" t="str">
        <f t="shared" si="0"/>
        <v>#</v>
      </c>
      <c r="C12" s="17" t="s">
        <v>133</v>
      </c>
      <c r="D12" s="18">
        <v>1984</v>
      </c>
      <c r="E12" s="19">
        <f>ROUND(F12+IF('Men''s Epée'!$A$3=1,G12,0)+LARGE($S12:$Y12,1)+LARGE($S12:$Y12,2),0)</f>
        <v>1325</v>
      </c>
      <c r="F12" s="20"/>
      <c r="G12" s="21"/>
      <c r="H12" s="21">
        <v>42</v>
      </c>
      <c r="I12" s="22">
        <f>IF(OR('Men''s Epée'!$A$3=1,'Men''s Epée'!$S$3=TRUE),IF(OR(H12&gt;=49,ISNUMBER(H12)=FALSE),0,VLOOKUP(H12,PointTable,I$3,TRUE)),0)</f>
        <v>230</v>
      </c>
      <c r="J12" s="21">
        <v>19</v>
      </c>
      <c r="K12" s="22">
        <f>IF(OR('Men''s Epée'!$A$3=1,'Men''s Epée'!$T$3=TRUE),IF(OR(J12&gt;=49,ISNUMBER(J12)=FALSE),0,VLOOKUP(J12,PointTable,K$3,TRUE)),0)</f>
        <v>405</v>
      </c>
      <c r="L12" s="21">
        <v>2</v>
      </c>
      <c r="M12" s="22">
        <f>IF(OR('Men''s Epée'!$A$3=1,'Men''s Epée'!$U$3=TRUE),IF(OR(L12&gt;=49,ISNUMBER(L12)=FALSE),0,VLOOKUP(L12,PointTable,M$3,TRUE)),0)</f>
        <v>920</v>
      </c>
      <c r="N12" s="23"/>
      <c r="O12" s="23"/>
      <c r="P12" s="23"/>
      <c r="Q12" s="24"/>
      <c r="S12" s="25">
        <f t="shared" si="1"/>
        <v>230</v>
      </c>
      <c r="T12" s="25">
        <f t="shared" si="2"/>
        <v>405</v>
      </c>
      <c r="U12" s="25">
        <f t="shared" si="3"/>
        <v>920</v>
      </c>
      <c r="V12" s="25">
        <f>IF(OR('Men''s Epée'!$A$3=1,N12&gt;0),ABS(N12),0)</f>
        <v>0</v>
      </c>
      <c r="W12" s="25">
        <f>IF(OR('Men''s Epée'!$A$3=1,O12&gt;0),ABS(O12),0)</f>
        <v>0</v>
      </c>
      <c r="X12" s="25">
        <f>IF(OR('Men''s Epée'!$A$3=1,P12&gt;0),ABS(P12),0)</f>
        <v>0</v>
      </c>
      <c r="Y12" s="25">
        <f>IF(OR('Men''s Epée'!$A$3=1,Q12&gt;0),ABS(Q12),0)</f>
        <v>0</v>
      </c>
      <c r="AA12" s="12">
        <f>IF('Men''s Epée'!$S$3=TRUE,I12,0)</f>
        <v>230</v>
      </c>
      <c r="AB12" s="12">
        <f>IF('Men''s Epée'!$T$3=TRUE,K12,0)</f>
        <v>405</v>
      </c>
      <c r="AC12" s="12">
        <f>IF('Men''s Epée'!$U$3=TRUE,M12,0)</f>
        <v>920</v>
      </c>
      <c r="AD12" s="26">
        <f t="shared" si="4"/>
        <v>0</v>
      </c>
      <c r="AE12" s="26">
        <f t="shared" si="5"/>
        <v>0</v>
      </c>
      <c r="AF12" s="26">
        <f t="shared" si="6"/>
        <v>0</v>
      </c>
      <c r="AG12" s="26">
        <f t="shared" si="7"/>
        <v>0</v>
      </c>
      <c r="AH12" s="12">
        <f t="shared" si="9"/>
        <v>1325</v>
      </c>
    </row>
    <row r="13" spans="1:34" ht="13.5">
      <c r="A13" s="16" t="str">
        <f t="shared" si="8"/>
        <v>10</v>
      </c>
      <c r="B13" s="16">
        <f t="shared" si="0"/>
      </c>
      <c r="C13" s="17" t="s">
        <v>53</v>
      </c>
      <c r="D13" s="18">
        <v>1973</v>
      </c>
      <c r="E13" s="19">
        <f>ROUND(F13+IF('Men''s Epée'!$A$3=1,G13,0)+LARGE($S13:$Y13,1)+LARGE($S13:$Y13,2),0)</f>
        <v>1303</v>
      </c>
      <c r="F13" s="20">
        <v>208</v>
      </c>
      <c r="G13" s="21"/>
      <c r="H13" s="21">
        <v>19</v>
      </c>
      <c r="I13" s="22">
        <f>IF(OR('Men''s Epée'!$A$3=1,'Men''s Epée'!$S$3=TRUE),IF(OR(H13&gt;=49,ISNUMBER(H13)=FALSE),0,VLOOKUP(H13,PointTable,I$3,TRUE)),0)</f>
        <v>405</v>
      </c>
      <c r="J13" s="21">
        <v>24</v>
      </c>
      <c r="K13" s="22">
        <f>IF(OR('Men''s Epée'!$A$3=1,'Men''s Epée'!$T$3=TRUE),IF(OR(J13&gt;=49,ISNUMBER(J13)=FALSE),0,VLOOKUP(J13,PointTable,K$3,TRUE)),0)</f>
        <v>380</v>
      </c>
      <c r="L13" s="21">
        <v>7</v>
      </c>
      <c r="M13" s="22">
        <f>IF(OR('Men''s Epée'!$A$3=1,'Men''s Epée'!$U$3=TRUE),IF(OR(L13&gt;=49,ISNUMBER(L13)=FALSE),0,VLOOKUP(L13,PointTable,M$3,TRUE)),0)</f>
        <v>690</v>
      </c>
      <c r="N13" s="23">
        <v>296</v>
      </c>
      <c r="O13" s="23"/>
      <c r="P13" s="23"/>
      <c r="Q13" s="24"/>
      <c r="S13" s="25">
        <f t="shared" si="1"/>
        <v>405</v>
      </c>
      <c r="T13" s="25">
        <f t="shared" si="2"/>
        <v>380</v>
      </c>
      <c r="U13" s="25">
        <f t="shared" si="3"/>
        <v>690</v>
      </c>
      <c r="V13" s="25">
        <f>IF(OR('Men''s Epée'!$A$3=1,N13&gt;0),ABS(N13),0)</f>
        <v>296</v>
      </c>
      <c r="W13" s="25">
        <f>IF(OR('Men''s Epée'!$A$3=1,O13&gt;0),ABS(O13),0)</f>
        <v>0</v>
      </c>
      <c r="X13" s="25">
        <f>IF(OR('Men''s Epée'!$A$3=1,P13&gt;0),ABS(P13),0)</f>
        <v>0</v>
      </c>
      <c r="Y13" s="25">
        <f>IF(OR('Men''s Epée'!$A$3=1,Q13&gt;0),ABS(Q13),0)</f>
        <v>0</v>
      </c>
      <c r="AA13" s="12">
        <f>IF('Men''s Epée'!$S$3=TRUE,I13,0)</f>
        <v>405</v>
      </c>
      <c r="AB13" s="12">
        <f>IF('Men''s Epée'!$T$3=TRUE,K13,0)</f>
        <v>380</v>
      </c>
      <c r="AC13" s="12">
        <f>IF('Men''s Epée'!$U$3=TRUE,M13,0)</f>
        <v>690</v>
      </c>
      <c r="AD13" s="26">
        <f t="shared" si="4"/>
        <v>296</v>
      </c>
      <c r="AE13" s="26">
        <f t="shared" si="5"/>
        <v>0</v>
      </c>
      <c r="AF13" s="26">
        <f t="shared" si="6"/>
        <v>0</v>
      </c>
      <c r="AG13" s="26">
        <f t="shared" si="7"/>
        <v>0</v>
      </c>
      <c r="AH13" s="12">
        <f t="shared" si="9"/>
        <v>1303</v>
      </c>
    </row>
    <row r="14" spans="1:34" ht="13.5">
      <c r="A14" s="16" t="str">
        <f t="shared" si="8"/>
        <v>11</v>
      </c>
      <c r="B14" s="16">
        <f t="shared" si="0"/>
      </c>
      <c r="C14" s="17" t="s">
        <v>99</v>
      </c>
      <c r="D14" s="18">
        <v>1980</v>
      </c>
      <c r="E14" s="19">
        <f>ROUND(F14+IF('Men''s Epée'!$A$3=1,G14,0)+LARGE($S14:$Y14,1)+LARGE($S14:$Y14,2),0)</f>
        <v>1285</v>
      </c>
      <c r="F14" s="20"/>
      <c r="G14" s="21"/>
      <c r="H14" s="21">
        <v>8</v>
      </c>
      <c r="I14" s="22">
        <f>IF(OR('Men''s Epée'!$A$3=1,'Men''s Epée'!$S$3=TRUE),IF(OR(H14&gt;=49,ISNUMBER(H14)=FALSE),0,VLOOKUP(H14,PointTable,I$3,TRUE)),0)</f>
        <v>695</v>
      </c>
      <c r="J14" s="21">
        <v>11</v>
      </c>
      <c r="K14" s="22">
        <f>IF(OR('Men''s Epée'!$A$3=1,'Men''s Epée'!$T$3=TRUE),IF(OR(J14&gt;=49,ISNUMBER(J14)=FALSE),0,VLOOKUP(J14,PointTable,K$3,TRUE)),0)</f>
        <v>590</v>
      </c>
      <c r="L14" s="21">
        <v>14</v>
      </c>
      <c r="M14" s="22">
        <f>IF(OR('Men''s Epée'!$A$3=1,'Men''s Epée'!$U$3=TRUE),IF(OR(L14&gt;=49,ISNUMBER(L14)=FALSE),0,VLOOKUP(L14,PointTable,M$3,TRUE)),0)</f>
        <v>510</v>
      </c>
      <c r="N14" s="23">
        <v>-514.794</v>
      </c>
      <c r="O14" s="23"/>
      <c r="P14" s="23"/>
      <c r="Q14" s="24"/>
      <c r="S14" s="25">
        <f>I14</f>
        <v>695</v>
      </c>
      <c r="T14" s="25">
        <f>K14</f>
        <v>590</v>
      </c>
      <c r="U14" s="25">
        <f>M14</f>
        <v>510</v>
      </c>
      <c r="V14" s="25">
        <f>IF(OR('Men''s Epée'!$A$3=1,N14&gt;0),ABS(N14),0)</f>
        <v>514.794</v>
      </c>
      <c r="W14" s="25">
        <f>IF(OR('Men''s Epée'!$A$3=1,O14&gt;0),ABS(O14),0)</f>
        <v>0</v>
      </c>
      <c r="X14" s="25">
        <f>IF(OR('Men''s Epée'!$A$3=1,P14&gt;0),ABS(P14),0)</f>
        <v>0</v>
      </c>
      <c r="Y14" s="25">
        <f>IF(OR('Men''s Epée'!$A$3=1,Q14&gt;0),ABS(Q14),0)</f>
        <v>0</v>
      </c>
      <c r="AA14" s="12">
        <f>IF('Men''s Epée'!$S$3=TRUE,I14,0)</f>
        <v>695</v>
      </c>
      <c r="AB14" s="12">
        <f>IF('Men''s Epée'!$T$3=TRUE,K14,0)</f>
        <v>590</v>
      </c>
      <c r="AC14" s="12">
        <f>IF('Men''s Epée'!$U$3=TRUE,M14,0)</f>
        <v>510</v>
      </c>
      <c r="AD14" s="26">
        <f t="shared" si="4"/>
        <v>0</v>
      </c>
      <c r="AE14" s="26">
        <f t="shared" si="5"/>
        <v>0</v>
      </c>
      <c r="AF14" s="26">
        <f t="shared" si="6"/>
        <v>0</v>
      </c>
      <c r="AG14" s="26">
        <f t="shared" si="7"/>
        <v>0</v>
      </c>
      <c r="AH14" s="12">
        <f t="shared" si="9"/>
        <v>1285</v>
      </c>
    </row>
    <row r="15" spans="1:34" ht="13.5">
      <c r="A15" s="16" t="str">
        <f t="shared" si="8"/>
        <v>12</v>
      </c>
      <c r="B15" s="16">
        <f t="shared" si="0"/>
      </c>
      <c r="C15" s="17" t="s">
        <v>269</v>
      </c>
      <c r="D15" s="18">
        <v>1946</v>
      </c>
      <c r="E15" s="19">
        <f>ROUND(F15+IF('Men''s Epée'!$A$3=1,G15,0)+LARGE($S15:$Y15,1)+LARGE($S15:$Y15,2),0)</f>
        <v>1260</v>
      </c>
      <c r="F15" s="20"/>
      <c r="G15" s="21"/>
      <c r="H15" s="21">
        <v>2</v>
      </c>
      <c r="I15" s="22">
        <f>IF(OR('Men''s Epée'!$A$3=1,'Men''s Epée'!$S$3=TRUE),IF(OR(H15&gt;=49,ISNUMBER(H15)=FALSE),0,VLOOKUP(H15,PointTable,I$3,TRUE)),0)</f>
        <v>925</v>
      </c>
      <c r="J15" s="21" t="s">
        <v>5</v>
      </c>
      <c r="K15" s="22">
        <f>IF(OR('Men''s Epée'!$A$3=1,'Men''s Epée'!$T$3=TRUE),IF(OR(J15&gt;=49,ISNUMBER(J15)=FALSE),0,VLOOKUP(J15,PointTable,K$3,TRUE)),0)</f>
        <v>0</v>
      </c>
      <c r="L15" s="21">
        <v>20</v>
      </c>
      <c r="M15" s="22">
        <f>IF(OR('Men''s Epée'!$A$3=1,'Men''s Epée'!$U$3=TRUE),IF(OR(L15&gt;=49,ISNUMBER(L15)=FALSE),0,VLOOKUP(L15,PointTable,M$3,TRUE)),0)</f>
        <v>335</v>
      </c>
      <c r="N15" s="23"/>
      <c r="O15" s="23"/>
      <c r="P15" s="23"/>
      <c r="Q15" s="24"/>
      <c r="S15" s="25">
        <f t="shared" si="1"/>
        <v>925</v>
      </c>
      <c r="T15" s="25">
        <f t="shared" si="2"/>
        <v>0</v>
      </c>
      <c r="U15" s="25">
        <f t="shared" si="3"/>
        <v>335</v>
      </c>
      <c r="V15" s="25">
        <f>IF(OR('Men''s Epée'!$A$3=1,N15&gt;0),ABS(N15),0)</f>
        <v>0</v>
      </c>
      <c r="W15" s="25">
        <f>IF(OR('Men''s Epée'!$A$3=1,O15&gt;0),ABS(O15),0)</f>
        <v>0</v>
      </c>
      <c r="X15" s="25">
        <f>IF(OR('Men''s Epée'!$A$3=1,P15&gt;0),ABS(P15),0)</f>
        <v>0</v>
      </c>
      <c r="Y15" s="25">
        <f>IF(OR('Men''s Epée'!$A$3=1,Q15&gt;0),ABS(Q15),0)</f>
        <v>0</v>
      </c>
      <c r="AA15" s="12">
        <f>IF('Men''s Epée'!$S$3=TRUE,I15,0)</f>
        <v>925</v>
      </c>
      <c r="AB15" s="12">
        <f>IF('Men''s Epée'!$T$3=TRUE,K15,0)</f>
        <v>0</v>
      </c>
      <c r="AC15" s="12">
        <f>IF('Men''s Epée'!$U$3=TRUE,M15,0)</f>
        <v>335</v>
      </c>
      <c r="AD15" s="26">
        <f t="shared" si="4"/>
        <v>0</v>
      </c>
      <c r="AE15" s="26">
        <f t="shared" si="5"/>
        <v>0</v>
      </c>
      <c r="AF15" s="26">
        <f t="shared" si="6"/>
        <v>0</v>
      </c>
      <c r="AG15" s="26">
        <f t="shared" si="7"/>
        <v>0</v>
      </c>
      <c r="AH15" s="12">
        <f t="shared" si="9"/>
        <v>1260</v>
      </c>
    </row>
    <row r="16" spans="1:34" ht="13.5">
      <c r="A16" s="16" t="str">
        <f t="shared" si="8"/>
        <v>13</v>
      </c>
      <c r="B16" s="16">
        <f t="shared" si="0"/>
      </c>
      <c r="C16" s="17" t="s">
        <v>59</v>
      </c>
      <c r="D16" s="18">
        <v>1977</v>
      </c>
      <c r="E16" s="19">
        <f>ROUND(F16+IF('Men''s Epée'!$A$3=1,G16,0)+LARGE($S16:$Y16,1)+LARGE($S16:$Y16,2),0)</f>
        <v>1000</v>
      </c>
      <c r="F16" s="20"/>
      <c r="G16" s="21"/>
      <c r="H16" s="21" t="s">
        <v>5</v>
      </c>
      <c r="I16" s="22">
        <f>IF(OR('Men''s Epée'!$A$3=1,'Men''s Epée'!$S$3=TRUE),IF(OR(H16&gt;=49,ISNUMBER(H16)=FALSE),0,VLOOKUP(H16,PointTable,I$3,TRUE)),0)</f>
        <v>0</v>
      </c>
      <c r="J16" s="21">
        <v>1</v>
      </c>
      <c r="K16" s="22">
        <f>IF(OR('Men''s Epée'!$A$3=1,'Men''s Epée'!$T$3=TRUE),IF(OR(J16&gt;=49,ISNUMBER(J16)=FALSE),0,VLOOKUP(J16,PointTable,K$3,TRUE)),0)</f>
        <v>1000</v>
      </c>
      <c r="L16" s="21" t="s">
        <v>5</v>
      </c>
      <c r="M16" s="22">
        <f>IF(OR('Men''s Epée'!$A$3=1,'Men''s Epée'!$U$3=TRUE),IF(OR(L16&gt;=49,ISNUMBER(L16)=FALSE),0,VLOOKUP(L16,PointTable,M$3,TRUE)),0)</f>
        <v>0</v>
      </c>
      <c r="N16" s="23"/>
      <c r="O16" s="23"/>
      <c r="P16" s="23"/>
      <c r="Q16" s="24"/>
      <c r="S16" s="25">
        <f t="shared" si="1"/>
        <v>0</v>
      </c>
      <c r="T16" s="25">
        <f t="shared" si="2"/>
        <v>1000</v>
      </c>
      <c r="U16" s="25">
        <f t="shared" si="3"/>
        <v>0</v>
      </c>
      <c r="V16" s="25">
        <f>IF(OR('Men''s Epée'!$A$3=1,N16&gt;0),ABS(N16),0)</f>
        <v>0</v>
      </c>
      <c r="W16" s="25">
        <f>IF(OR('Men''s Epée'!$A$3=1,O16&gt;0),ABS(O16),0)</f>
        <v>0</v>
      </c>
      <c r="X16" s="25">
        <f>IF(OR('Men''s Epée'!$A$3=1,P16&gt;0),ABS(P16),0)</f>
        <v>0</v>
      </c>
      <c r="Y16" s="25">
        <f>IF(OR('Men''s Epée'!$A$3=1,Q16&gt;0),ABS(Q16),0)</f>
        <v>0</v>
      </c>
      <c r="AA16" s="12">
        <f>IF('Men''s Epée'!$S$3=TRUE,I16,0)</f>
        <v>0</v>
      </c>
      <c r="AB16" s="12">
        <f>IF('Men''s Epée'!$T$3=TRUE,K16,0)</f>
        <v>1000</v>
      </c>
      <c r="AC16" s="12">
        <f>IF('Men''s Epée'!$U$3=TRUE,M16,0)</f>
        <v>0</v>
      </c>
      <c r="AD16" s="26">
        <f t="shared" si="4"/>
        <v>0</v>
      </c>
      <c r="AE16" s="26">
        <f t="shared" si="5"/>
        <v>0</v>
      </c>
      <c r="AF16" s="26">
        <f t="shared" si="6"/>
        <v>0</v>
      </c>
      <c r="AG16" s="26">
        <f t="shared" si="7"/>
        <v>0</v>
      </c>
      <c r="AH16" s="12">
        <f t="shared" si="9"/>
        <v>1000</v>
      </c>
    </row>
    <row r="17" spans="1:34" ht="13.5">
      <c r="A17" s="16" t="str">
        <f t="shared" si="8"/>
        <v>14</v>
      </c>
      <c r="B17" s="16">
        <f t="shared" si="0"/>
      </c>
      <c r="C17" s="17" t="s">
        <v>224</v>
      </c>
      <c r="D17" s="18">
        <v>1978</v>
      </c>
      <c r="E17" s="19">
        <f>ROUND(F17+IF('Men''s Epée'!$A$3=1,G17,0)+LARGE($S17:$Y17,1)+LARGE($S17:$Y17,2),0)</f>
        <v>950</v>
      </c>
      <c r="F17" s="20"/>
      <c r="G17" s="21"/>
      <c r="H17" s="21" t="s">
        <v>5</v>
      </c>
      <c r="I17" s="22">
        <f>IF(OR('Men''s Epée'!$A$3=1,'Men''s Epée'!$S$3=TRUE),IF(OR(H17&gt;=49,ISNUMBER(H17)=FALSE),0,VLOOKUP(H17,PointTable,I$3,TRUE)),0)</f>
        <v>0</v>
      </c>
      <c r="J17" s="21">
        <v>10</v>
      </c>
      <c r="K17" s="22">
        <f>IF(OR('Men''s Epée'!$A$3=1,'Men''s Epée'!$T$3=TRUE),IF(OR(J17&gt;=49,ISNUMBER(J17)=FALSE),0,VLOOKUP(J17,PointTable,K$3,TRUE)),0)</f>
        <v>605</v>
      </c>
      <c r="L17" s="21">
        <v>18</v>
      </c>
      <c r="M17" s="22">
        <f>IF(OR('Men''s Epée'!$A$3=1,'Men''s Epée'!$U$3=TRUE),IF(OR(L17&gt;=49,ISNUMBER(L17)=FALSE),0,VLOOKUP(L17,PointTable,M$3,TRUE)),0)</f>
        <v>345</v>
      </c>
      <c r="N17" s="23"/>
      <c r="O17" s="23"/>
      <c r="P17" s="23"/>
      <c r="Q17" s="24"/>
      <c r="S17" s="25">
        <f t="shared" si="1"/>
        <v>0</v>
      </c>
      <c r="T17" s="25">
        <f t="shared" si="2"/>
        <v>605</v>
      </c>
      <c r="U17" s="25">
        <f t="shared" si="3"/>
        <v>345</v>
      </c>
      <c r="V17" s="25">
        <f>IF(OR('Men''s Epée'!$A$3=1,N17&gt;0),ABS(N17),0)</f>
        <v>0</v>
      </c>
      <c r="W17" s="25">
        <f>IF(OR('Men''s Epée'!$A$3=1,O17&gt;0),ABS(O17),0)</f>
        <v>0</v>
      </c>
      <c r="X17" s="25">
        <f>IF(OR('Men''s Epée'!$A$3=1,P17&gt;0),ABS(P17),0)</f>
        <v>0</v>
      </c>
      <c r="Y17" s="25">
        <f>IF(OR('Men''s Epée'!$A$3=1,Q17&gt;0),ABS(Q17),0)</f>
        <v>0</v>
      </c>
      <c r="AA17" s="12">
        <f>IF('Men''s Epée'!$S$3=TRUE,I17,0)</f>
        <v>0</v>
      </c>
      <c r="AB17" s="12">
        <f>IF('Men''s Epée'!$T$3=TRUE,K17,0)</f>
        <v>605</v>
      </c>
      <c r="AC17" s="12">
        <f>IF('Men''s Epée'!$U$3=TRUE,M17,0)</f>
        <v>345</v>
      </c>
      <c r="AD17" s="26">
        <f t="shared" si="4"/>
        <v>0</v>
      </c>
      <c r="AE17" s="26">
        <f t="shared" si="5"/>
        <v>0</v>
      </c>
      <c r="AF17" s="26">
        <f t="shared" si="6"/>
        <v>0</v>
      </c>
      <c r="AG17" s="26">
        <f t="shared" si="7"/>
        <v>0</v>
      </c>
      <c r="AH17" s="12">
        <f t="shared" si="9"/>
        <v>950</v>
      </c>
    </row>
    <row r="18" spans="1:34" ht="13.5">
      <c r="A18" s="16" t="str">
        <f t="shared" si="8"/>
        <v>15</v>
      </c>
      <c r="B18" s="16">
        <f t="shared" si="0"/>
      </c>
      <c r="C18" s="17" t="s">
        <v>49</v>
      </c>
      <c r="D18" s="18">
        <v>1980</v>
      </c>
      <c r="E18" s="19">
        <f>ROUND(F18+IF('Men''s Epée'!$A$3=1,G18,0)+LARGE($S18:$Y18,1)+LARGE($S18:$Y18,2),0)</f>
        <v>935</v>
      </c>
      <c r="F18" s="20"/>
      <c r="G18" s="21"/>
      <c r="H18" s="21" t="s">
        <v>5</v>
      </c>
      <c r="I18" s="22">
        <f>IF(OR('Men''s Epée'!$A$3=1,'Men''s Epée'!$S$3=TRUE),IF(OR(H18&gt;=49,ISNUMBER(H18)=FALSE),0,VLOOKUP(H18,PointTable,I$3,TRUE)),0)</f>
        <v>0</v>
      </c>
      <c r="J18" s="21">
        <v>41</v>
      </c>
      <c r="K18" s="22">
        <f>IF(OR('Men''s Epée'!$A$3=1,'Men''s Epée'!$T$3=TRUE),IF(OR(J18&gt;=49,ISNUMBER(J18)=FALSE),0,VLOOKUP(J18,PointTable,K$3,TRUE)),0)</f>
        <v>235</v>
      </c>
      <c r="L18" s="21">
        <v>5</v>
      </c>
      <c r="M18" s="22">
        <f>IF(OR('Men''s Epée'!$A$3=1,'Men''s Epée'!$U$3=TRUE),IF(OR(L18&gt;=49,ISNUMBER(L18)=FALSE),0,VLOOKUP(L18,PointTable,M$3,TRUE)),0)</f>
        <v>700</v>
      </c>
      <c r="N18" s="23"/>
      <c r="O18" s="23"/>
      <c r="P18" s="23"/>
      <c r="Q18" s="24"/>
      <c r="S18" s="25">
        <f t="shared" si="1"/>
        <v>0</v>
      </c>
      <c r="T18" s="25">
        <f t="shared" si="2"/>
        <v>235</v>
      </c>
      <c r="U18" s="25">
        <f t="shared" si="3"/>
        <v>700</v>
      </c>
      <c r="V18" s="25">
        <f>IF(OR('Men''s Epée'!$A$3=1,N18&gt;0),ABS(N18),0)</f>
        <v>0</v>
      </c>
      <c r="W18" s="25">
        <f>IF(OR('Men''s Epée'!$A$3=1,O18&gt;0),ABS(O18),0)</f>
        <v>0</v>
      </c>
      <c r="X18" s="25">
        <f>IF(OR('Men''s Epée'!$A$3=1,P18&gt;0),ABS(P18),0)</f>
        <v>0</v>
      </c>
      <c r="Y18" s="25">
        <f>IF(OR('Men''s Epée'!$A$3=1,Q18&gt;0),ABS(Q18),0)</f>
        <v>0</v>
      </c>
      <c r="AA18" s="12">
        <f>IF('Men''s Epée'!$S$3=TRUE,I18,0)</f>
        <v>0</v>
      </c>
      <c r="AB18" s="12">
        <f>IF('Men''s Epée'!$T$3=TRUE,K18,0)</f>
        <v>235</v>
      </c>
      <c r="AC18" s="12">
        <f>IF('Men''s Epée'!$U$3=TRUE,M18,0)</f>
        <v>700</v>
      </c>
      <c r="AD18" s="26">
        <f t="shared" si="4"/>
        <v>0</v>
      </c>
      <c r="AE18" s="26">
        <f t="shared" si="5"/>
        <v>0</v>
      </c>
      <c r="AF18" s="26">
        <f t="shared" si="6"/>
        <v>0</v>
      </c>
      <c r="AG18" s="26">
        <f t="shared" si="7"/>
        <v>0</v>
      </c>
      <c r="AH18" s="12">
        <f t="shared" si="9"/>
        <v>935</v>
      </c>
    </row>
    <row r="19" spans="1:34" ht="13.5">
      <c r="A19" s="16" t="str">
        <f t="shared" si="8"/>
        <v>16</v>
      </c>
      <c r="B19" s="16">
        <f t="shared" si="0"/>
      </c>
      <c r="C19" s="17" t="s">
        <v>270</v>
      </c>
      <c r="D19" s="18">
        <v>1979</v>
      </c>
      <c r="E19" s="19">
        <f>ROUND(F19+IF('Men''s Epée'!$A$3=1,G19,0)+LARGE($S19:$Y19,1)+LARGE($S19:$Y19,2),0)</f>
        <v>920</v>
      </c>
      <c r="F19" s="20"/>
      <c r="G19" s="21"/>
      <c r="H19" s="21">
        <v>23</v>
      </c>
      <c r="I19" s="22">
        <f>IF(OR('Men''s Epée'!$A$3=1,'Men''s Epée'!$S$3=TRUE),IF(OR(H19&gt;=49,ISNUMBER(H19)=FALSE),0,VLOOKUP(H19,PointTable,I$3,TRUE)),0)</f>
        <v>385</v>
      </c>
      <c r="J19" s="21">
        <v>36</v>
      </c>
      <c r="K19" s="22">
        <f>IF(OR('Men''s Epée'!$A$3=1,'Men''s Epée'!$T$3=TRUE),IF(OR(J19&gt;=49,ISNUMBER(J19)=FALSE),0,VLOOKUP(J19,PointTable,K$3,TRUE)),0)</f>
        <v>260</v>
      </c>
      <c r="L19" s="21">
        <v>9</v>
      </c>
      <c r="M19" s="22">
        <f>IF(OR('Men''s Epée'!$A$3=1,'Men''s Epée'!$U$3=TRUE),IF(OR(L19&gt;=49,ISNUMBER(L19)=FALSE),0,VLOOKUP(L19,PointTable,M$3,TRUE)),0)</f>
        <v>535</v>
      </c>
      <c r="N19" s="23"/>
      <c r="O19" s="23"/>
      <c r="P19" s="23"/>
      <c r="Q19" s="24"/>
      <c r="S19" s="25">
        <f t="shared" si="1"/>
        <v>385</v>
      </c>
      <c r="T19" s="25">
        <f t="shared" si="2"/>
        <v>260</v>
      </c>
      <c r="U19" s="25">
        <f t="shared" si="3"/>
        <v>535</v>
      </c>
      <c r="V19" s="25">
        <f>IF(OR('Men''s Epée'!$A$3=1,N19&gt;0),ABS(N19),0)</f>
        <v>0</v>
      </c>
      <c r="W19" s="25">
        <f>IF(OR('Men''s Epée'!$A$3=1,O19&gt;0),ABS(O19),0)</f>
        <v>0</v>
      </c>
      <c r="X19" s="25">
        <f>IF(OR('Men''s Epée'!$A$3=1,P19&gt;0),ABS(P19),0)</f>
        <v>0</v>
      </c>
      <c r="Y19" s="25">
        <f>IF(OR('Men''s Epée'!$A$3=1,Q19&gt;0),ABS(Q19),0)</f>
        <v>0</v>
      </c>
      <c r="AA19" s="12">
        <f>IF('Men''s Epée'!$S$3=TRUE,I19,0)</f>
        <v>385</v>
      </c>
      <c r="AB19" s="12">
        <f>IF('Men''s Epée'!$T$3=TRUE,K19,0)</f>
        <v>260</v>
      </c>
      <c r="AC19" s="12">
        <f>IF('Men''s Epée'!$U$3=TRUE,M19,0)</f>
        <v>535</v>
      </c>
      <c r="AD19" s="26">
        <f t="shared" si="4"/>
        <v>0</v>
      </c>
      <c r="AE19" s="26">
        <f t="shared" si="5"/>
        <v>0</v>
      </c>
      <c r="AF19" s="26">
        <f t="shared" si="6"/>
        <v>0</v>
      </c>
      <c r="AG19" s="26">
        <f t="shared" si="7"/>
        <v>0</v>
      </c>
      <c r="AH19" s="12">
        <f t="shared" si="9"/>
        <v>920</v>
      </c>
    </row>
    <row r="20" spans="1:34" ht="13.5">
      <c r="A20" s="16" t="str">
        <f t="shared" si="8"/>
        <v>17</v>
      </c>
      <c r="B20" s="16">
        <f t="shared" si="0"/>
      </c>
      <c r="C20" s="17" t="s">
        <v>100</v>
      </c>
      <c r="D20" s="18">
        <v>1976</v>
      </c>
      <c r="E20" s="19">
        <f>ROUND(F20+IF('Men''s Epée'!$A$3=1,G20,0)+LARGE($S20:$Y20,1)+LARGE($S20:$Y20,2),0)</f>
        <v>900</v>
      </c>
      <c r="F20" s="20"/>
      <c r="G20" s="21"/>
      <c r="H20" s="21">
        <v>21</v>
      </c>
      <c r="I20" s="22">
        <f>IF(OR('Men''s Epée'!$A$3=1,'Men''s Epée'!$S$3=TRUE),IF(OR(H20&gt;=49,ISNUMBER(H20)=FALSE),0,VLOOKUP(H20,PointTable,I$3,TRUE)),0)</f>
        <v>395</v>
      </c>
      <c r="J20" s="21" t="s">
        <v>5</v>
      </c>
      <c r="K20" s="22">
        <f>IF(OR('Men''s Epée'!$A$3=1,'Men''s Epée'!$T$3=TRUE),IF(OR(J20&gt;=49,ISNUMBER(J20)=FALSE),0,VLOOKUP(J20,PointTable,K$3,TRUE)),0)</f>
        <v>0</v>
      </c>
      <c r="L20" s="21">
        <v>15</v>
      </c>
      <c r="M20" s="22">
        <f>IF(OR('Men''s Epée'!$A$3=1,'Men''s Epée'!$U$3=TRUE),IF(OR(L20&gt;=49,ISNUMBER(L20)=FALSE),0,VLOOKUP(L20,PointTable,M$3,TRUE)),0)</f>
        <v>505</v>
      </c>
      <c r="N20" s="23"/>
      <c r="O20" s="23"/>
      <c r="P20" s="23"/>
      <c r="Q20" s="24"/>
      <c r="S20" s="25">
        <f t="shared" si="1"/>
        <v>395</v>
      </c>
      <c r="T20" s="25">
        <f t="shared" si="2"/>
        <v>0</v>
      </c>
      <c r="U20" s="25">
        <f t="shared" si="3"/>
        <v>505</v>
      </c>
      <c r="V20" s="25">
        <f>IF(OR('Men''s Epée'!$A$3=1,N20&gt;0),ABS(N20),0)</f>
        <v>0</v>
      </c>
      <c r="W20" s="25">
        <f>IF(OR('Men''s Epée'!$A$3=1,O20&gt;0),ABS(O20),0)</f>
        <v>0</v>
      </c>
      <c r="X20" s="25">
        <f>IF(OR('Men''s Epée'!$A$3=1,P20&gt;0),ABS(P20),0)</f>
        <v>0</v>
      </c>
      <c r="Y20" s="25">
        <f>IF(OR('Men''s Epée'!$A$3=1,Q20&gt;0),ABS(Q20),0)</f>
        <v>0</v>
      </c>
      <c r="AA20" s="12">
        <f>IF('Men''s Epée'!$S$3=TRUE,I20,0)</f>
        <v>395</v>
      </c>
      <c r="AB20" s="12">
        <f>IF('Men''s Epée'!$T$3=TRUE,K20,0)</f>
        <v>0</v>
      </c>
      <c r="AC20" s="12">
        <f>IF('Men''s Epée'!$U$3=TRUE,M20,0)</f>
        <v>505</v>
      </c>
      <c r="AD20" s="26">
        <f t="shared" si="4"/>
        <v>0</v>
      </c>
      <c r="AE20" s="26">
        <f t="shared" si="5"/>
        <v>0</v>
      </c>
      <c r="AF20" s="26">
        <f t="shared" si="6"/>
        <v>0</v>
      </c>
      <c r="AG20" s="26">
        <f t="shared" si="7"/>
        <v>0</v>
      </c>
      <c r="AH20" s="12">
        <f t="shared" si="9"/>
        <v>900</v>
      </c>
    </row>
    <row r="21" spans="1:34" ht="13.5">
      <c r="A21" s="16" t="str">
        <f t="shared" si="8"/>
        <v>18</v>
      </c>
      <c r="B21" s="16" t="str">
        <f t="shared" si="0"/>
        <v>#</v>
      </c>
      <c r="C21" s="17" t="s">
        <v>160</v>
      </c>
      <c r="D21" s="18">
        <v>1985</v>
      </c>
      <c r="E21" s="19">
        <f>ROUND(F21+IF('Men''s Epée'!$A$3=1,G21,0)+LARGE($S21:$Y21,1)+LARGE($S21:$Y21,2),0)</f>
        <v>895</v>
      </c>
      <c r="F21" s="20"/>
      <c r="G21" s="21"/>
      <c r="H21" s="21">
        <v>16</v>
      </c>
      <c r="I21" s="22">
        <f>IF(OR('Men''s Epée'!$A$3=1,'Men''s Epée'!$S$3=TRUE),IF(OR(H21&gt;=49,ISNUMBER(H21)=FALSE),0,VLOOKUP(H21,PointTable,I$3,TRUE)),0)</f>
        <v>480</v>
      </c>
      <c r="J21" s="21">
        <v>17</v>
      </c>
      <c r="K21" s="22">
        <f>IF(OR('Men''s Epée'!$A$3=1,'Men''s Epée'!$T$3=TRUE),IF(OR(J21&gt;=49,ISNUMBER(J21)=FALSE),0,VLOOKUP(J21,PointTable,K$3,TRUE)),0)</f>
        <v>415</v>
      </c>
      <c r="L21" s="21" t="s">
        <v>5</v>
      </c>
      <c r="M21" s="22">
        <f>IF(OR('Men''s Epée'!$A$3=1,'Men''s Epée'!$U$3=TRUE),IF(OR(L21&gt;=49,ISNUMBER(L21)=FALSE),0,VLOOKUP(L21,PointTable,M$3,TRUE)),0)</f>
        <v>0</v>
      </c>
      <c r="N21" s="23"/>
      <c r="O21" s="23"/>
      <c r="P21" s="23"/>
      <c r="Q21" s="24"/>
      <c r="S21" s="25">
        <f t="shared" si="1"/>
        <v>480</v>
      </c>
      <c r="T21" s="25">
        <f t="shared" si="2"/>
        <v>415</v>
      </c>
      <c r="U21" s="25">
        <f t="shared" si="3"/>
        <v>0</v>
      </c>
      <c r="V21" s="25">
        <f>IF(OR('Men''s Epée'!$A$3=1,N21&gt;0),ABS(N21),0)</f>
        <v>0</v>
      </c>
      <c r="W21" s="25">
        <f>IF(OR('Men''s Epée'!$A$3=1,O21&gt;0),ABS(O21),0)</f>
        <v>0</v>
      </c>
      <c r="X21" s="25">
        <f>IF(OR('Men''s Epée'!$A$3=1,P21&gt;0),ABS(P21),0)</f>
        <v>0</v>
      </c>
      <c r="Y21" s="25">
        <f>IF(OR('Men''s Epée'!$A$3=1,Q21&gt;0),ABS(Q21),0)</f>
        <v>0</v>
      </c>
      <c r="AA21" s="12">
        <f>IF('Men''s Epée'!$S$3=TRUE,I21,0)</f>
        <v>480</v>
      </c>
      <c r="AB21" s="12">
        <f>IF('Men''s Epée'!$T$3=TRUE,K21,0)</f>
        <v>415</v>
      </c>
      <c r="AC21" s="12">
        <f>IF('Men''s Epée'!$U$3=TRUE,M21,0)</f>
        <v>0</v>
      </c>
      <c r="AD21" s="26">
        <f t="shared" si="4"/>
        <v>0</v>
      </c>
      <c r="AE21" s="26">
        <f t="shared" si="5"/>
        <v>0</v>
      </c>
      <c r="AF21" s="26">
        <f t="shared" si="6"/>
        <v>0</v>
      </c>
      <c r="AG21" s="26">
        <f t="shared" si="7"/>
        <v>0</v>
      </c>
      <c r="AH21" s="12">
        <f t="shared" si="9"/>
        <v>895</v>
      </c>
    </row>
    <row r="22" spans="1:34" ht="13.5">
      <c r="A22" s="16" t="str">
        <f t="shared" si="8"/>
        <v>19</v>
      </c>
      <c r="B22" s="16">
        <f t="shared" si="0"/>
      </c>
      <c r="C22" s="17" t="s">
        <v>271</v>
      </c>
      <c r="D22" s="18">
        <v>1976</v>
      </c>
      <c r="E22" s="19">
        <f>ROUND(F22+IF('Men''s Epée'!$A$3=1,G22,0)+LARGE($S22:$Y22,1)+LARGE($S22:$Y22,2),0)</f>
        <v>875</v>
      </c>
      <c r="F22" s="20"/>
      <c r="G22" s="21"/>
      <c r="H22" s="21">
        <v>28</v>
      </c>
      <c r="I22" s="22">
        <f>IF(OR('Men''s Epée'!$A$3=1,'Men''s Epée'!$S$3=TRUE),IF(OR(H22&gt;=49,ISNUMBER(H22)=FALSE),0,VLOOKUP(H22,PointTable,I$3,TRUE)),0)</f>
        <v>300</v>
      </c>
      <c r="J22" s="21">
        <v>12</v>
      </c>
      <c r="K22" s="22">
        <f>IF(OR('Men''s Epée'!$A$3=1,'Men''s Epée'!$T$3=TRUE),IF(OR(J22&gt;=49,ISNUMBER(J22)=FALSE),0,VLOOKUP(J22,PointTable,K$3,TRUE)),0)</f>
        <v>575</v>
      </c>
      <c r="L22" s="21">
        <v>28</v>
      </c>
      <c r="M22" s="22">
        <f>IF(OR('Men''s Epée'!$A$3=1,'Men''s Epée'!$U$3=TRUE),IF(OR(L22&gt;=49,ISNUMBER(L22)=FALSE),0,VLOOKUP(L22,PointTable,M$3,TRUE)),0)</f>
        <v>295</v>
      </c>
      <c r="N22" s="23"/>
      <c r="O22" s="23"/>
      <c r="P22" s="23"/>
      <c r="Q22" s="24"/>
      <c r="S22" s="25">
        <f t="shared" si="1"/>
        <v>300</v>
      </c>
      <c r="T22" s="25">
        <f t="shared" si="2"/>
        <v>575</v>
      </c>
      <c r="U22" s="25">
        <f t="shared" si="3"/>
        <v>295</v>
      </c>
      <c r="V22" s="25">
        <f>IF(OR('Men''s Epée'!$A$3=1,N22&gt;0),ABS(N22),0)</f>
        <v>0</v>
      </c>
      <c r="W22" s="25">
        <f>IF(OR('Men''s Epée'!$A$3=1,O22&gt;0),ABS(O22),0)</f>
        <v>0</v>
      </c>
      <c r="X22" s="25">
        <f>IF(OR('Men''s Epée'!$A$3=1,P22&gt;0),ABS(P22),0)</f>
        <v>0</v>
      </c>
      <c r="Y22" s="25">
        <f>IF(OR('Men''s Epée'!$A$3=1,Q22&gt;0),ABS(Q22),0)</f>
        <v>0</v>
      </c>
      <c r="AA22" s="12">
        <f>IF('Men''s Epée'!$S$3=TRUE,I22,0)</f>
        <v>300</v>
      </c>
      <c r="AB22" s="12">
        <f>IF('Men''s Epée'!$T$3=TRUE,K22,0)</f>
        <v>575</v>
      </c>
      <c r="AC22" s="12">
        <f>IF('Men''s Epée'!$U$3=TRUE,M22,0)</f>
        <v>295</v>
      </c>
      <c r="AD22" s="26">
        <f t="shared" si="4"/>
        <v>0</v>
      </c>
      <c r="AE22" s="26">
        <f t="shared" si="5"/>
        <v>0</v>
      </c>
      <c r="AF22" s="26">
        <f t="shared" si="6"/>
        <v>0</v>
      </c>
      <c r="AG22" s="26">
        <f t="shared" si="7"/>
        <v>0</v>
      </c>
      <c r="AH22" s="12">
        <f t="shared" si="9"/>
        <v>875</v>
      </c>
    </row>
    <row r="23" spans="1:34" ht="13.5">
      <c r="A23" s="16" t="str">
        <f t="shared" si="8"/>
        <v>20</v>
      </c>
      <c r="B23" s="16">
        <f t="shared" si="0"/>
      </c>
      <c r="C23" s="17" t="s">
        <v>151</v>
      </c>
      <c r="D23" s="18">
        <v>1976</v>
      </c>
      <c r="E23" s="19">
        <f>ROUND(F23+IF('Men''s Epée'!$A$3=1,G23,0)+LARGE($S23:$Y23,1)+LARGE($S23:$Y23,2),0)</f>
        <v>840</v>
      </c>
      <c r="F23" s="20"/>
      <c r="G23" s="21"/>
      <c r="H23" s="21" t="s">
        <v>5</v>
      </c>
      <c r="I23" s="22">
        <f>IF(OR('Men''s Epée'!$A$3=1,'Men''s Epée'!$S$3=TRUE),IF(OR(H23&gt;=49,ISNUMBER(H23)=FALSE),0,VLOOKUP(H23,PointTable,I$3,TRUE)),0)</f>
        <v>0</v>
      </c>
      <c r="J23" s="21">
        <v>26</v>
      </c>
      <c r="K23" s="22">
        <f>IF(OR('Men''s Epée'!$A$3=1,'Men''s Epée'!$T$3=TRUE),IF(OR(J23&gt;=49,ISNUMBER(J23)=FALSE),0,VLOOKUP(J23,PointTable,K$3,TRUE)),0)</f>
        <v>310</v>
      </c>
      <c r="L23" s="21">
        <v>10</v>
      </c>
      <c r="M23" s="22">
        <f>IF(OR('Men''s Epée'!$A$3=1,'Men''s Epée'!$U$3=TRUE),IF(OR(L23&gt;=49,ISNUMBER(L23)=FALSE),0,VLOOKUP(L23,PointTable,M$3,TRUE)),0)</f>
        <v>530</v>
      </c>
      <c r="N23" s="23"/>
      <c r="O23" s="23"/>
      <c r="P23" s="23"/>
      <c r="Q23" s="24"/>
      <c r="S23" s="25">
        <f t="shared" si="1"/>
        <v>0</v>
      </c>
      <c r="T23" s="25">
        <f t="shared" si="2"/>
        <v>310</v>
      </c>
      <c r="U23" s="25">
        <f t="shared" si="3"/>
        <v>530</v>
      </c>
      <c r="V23" s="25">
        <f>IF(OR('Men''s Epée'!$A$3=1,N23&gt;0),ABS(N23),0)</f>
        <v>0</v>
      </c>
      <c r="W23" s="25">
        <f>IF(OR('Men''s Epée'!$A$3=1,O23&gt;0),ABS(O23),0)</f>
        <v>0</v>
      </c>
      <c r="X23" s="25">
        <f>IF(OR('Men''s Epée'!$A$3=1,P23&gt;0),ABS(P23),0)</f>
        <v>0</v>
      </c>
      <c r="Y23" s="25">
        <f>IF(OR('Men''s Epée'!$A$3=1,Q23&gt;0),ABS(Q23),0)</f>
        <v>0</v>
      </c>
      <c r="AA23" s="12">
        <f>IF('Men''s Epée'!$S$3=TRUE,I23,0)</f>
        <v>0</v>
      </c>
      <c r="AB23" s="12">
        <f>IF('Men''s Epée'!$T$3=TRUE,K23,0)</f>
        <v>310</v>
      </c>
      <c r="AC23" s="12">
        <f>IF('Men''s Epée'!$U$3=TRUE,M23,0)</f>
        <v>530</v>
      </c>
      <c r="AD23" s="26">
        <f t="shared" si="4"/>
        <v>0</v>
      </c>
      <c r="AE23" s="26">
        <f t="shared" si="5"/>
        <v>0</v>
      </c>
      <c r="AF23" s="26">
        <f t="shared" si="6"/>
        <v>0</v>
      </c>
      <c r="AG23" s="26">
        <f t="shared" si="7"/>
        <v>0</v>
      </c>
      <c r="AH23" s="12">
        <f t="shared" si="9"/>
        <v>840</v>
      </c>
    </row>
    <row r="24" spans="1:34" ht="13.5">
      <c r="A24" s="16" t="str">
        <f t="shared" si="8"/>
        <v>21T</v>
      </c>
      <c r="B24" s="16">
        <f t="shared" si="0"/>
      </c>
      <c r="C24" s="17" t="s">
        <v>57</v>
      </c>
      <c r="D24" s="18">
        <v>1981</v>
      </c>
      <c r="E24" s="19">
        <f>ROUND(F24+IF('Men''s Epée'!$A$3=1,G24,0)+LARGE($S24:$Y24,1)+LARGE($S24:$Y24,2),0)</f>
        <v>810</v>
      </c>
      <c r="F24" s="20"/>
      <c r="G24" s="21"/>
      <c r="H24" s="21">
        <v>17</v>
      </c>
      <c r="I24" s="22">
        <f>IF(OR('Men''s Epée'!$A$3=1,'Men''s Epée'!$S$3=TRUE),IF(OR(H24&gt;=49,ISNUMBER(H24)=FALSE),0,VLOOKUP(H24,PointTable,I$3,TRUE)),0)</f>
        <v>415</v>
      </c>
      <c r="J24" s="21">
        <v>21</v>
      </c>
      <c r="K24" s="22">
        <f>IF(OR('Men''s Epée'!$A$3=1,'Men''s Epée'!$T$3=TRUE),IF(OR(J24&gt;=49,ISNUMBER(J24)=FALSE),0,VLOOKUP(J24,PointTable,K$3,TRUE)),0)</f>
        <v>395</v>
      </c>
      <c r="L24" s="21" t="s">
        <v>5</v>
      </c>
      <c r="M24" s="22">
        <f>IF(OR('Men''s Epée'!$A$3=1,'Men''s Epée'!$U$3=TRUE),IF(OR(L24&gt;=49,ISNUMBER(L24)=FALSE),0,VLOOKUP(L24,PointTable,M$3,TRUE)),0)</f>
        <v>0</v>
      </c>
      <c r="N24" s="23"/>
      <c r="O24" s="23"/>
      <c r="P24" s="23"/>
      <c r="Q24" s="24"/>
      <c r="S24" s="25">
        <f aca="true" t="shared" si="10" ref="S24:S31">I24</f>
        <v>415</v>
      </c>
      <c r="T24" s="25">
        <f aca="true" t="shared" si="11" ref="T24:T31">K24</f>
        <v>395</v>
      </c>
      <c r="U24" s="25">
        <f aca="true" t="shared" si="12" ref="U24:U31">M24</f>
        <v>0</v>
      </c>
      <c r="V24" s="25">
        <f>IF(OR('Men''s Epée'!$A$3=1,N24&gt;0),ABS(N24),0)</f>
        <v>0</v>
      </c>
      <c r="W24" s="25">
        <f>IF(OR('Men''s Epée'!$A$3=1,O24&gt;0),ABS(O24),0)</f>
        <v>0</v>
      </c>
      <c r="X24" s="25">
        <f>IF(OR('Men''s Epée'!$A$3=1,P24&gt;0),ABS(P24),0)</f>
        <v>0</v>
      </c>
      <c r="Y24" s="25">
        <f>IF(OR('Men''s Epée'!$A$3=1,Q24&gt;0),ABS(Q24),0)</f>
        <v>0</v>
      </c>
      <c r="AA24" s="12">
        <f>IF('Men''s Epée'!$S$3=TRUE,I24,0)</f>
        <v>415</v>
      </c>
      <c r="AB24" s="12">
        <f>IF('Men''s Epée'!$T$3=TRUE,K24,0)</f>
        <v>395</v>
      </c>
      <c r="AC24" s="12">
        <f>IF('Men''s Epée'!$U$3=TRUE,M24,0)</f>
        <v>0</v>
      </c>
      <c r="AD24" s="26">
        <f aca="true" t="shared" si="13" ref="AD24:AD31">MAX(N24,0)</f>
        <v>0</v>
      </c>
      <c r="AE24" s="26">
        <f aca="true" t="shared" si="14" ref="AE24:AE31">MAX(O24,0)</f>
        <v>0</v>
      </c>
      <c r="AF24" s="26">
        <f aca="true" t="shared" si="15" ref="AF24:AF31">MAX(P24,0)</f>
        <v>0</v>
      </c>
      <c r="AG24" s="26">
        <f aca="true" t="shared" si="16" ref="AG24:AG31">MAX(Q24,0)</f>
        <v>0</v>
      </c>
      <c r="AH24" s="12">
        <f t="shared" si="9"/>
        <v>810</v>
      </c>
    </row>
    <row r="25" spans="1:34" ht="13.5">
      <c r="A25" s="16" t="str">
        <f t="shared" si="8"/>
        <v>21T</v>
      </c>
      <c r="B25" s="16">
        <f t="shared" si="0"/>
      </c>
      <c r="C25" s="17" t="s">
        <v>50</v>
      </c>
      <c r="D25" s="18">
        <v>1949</v>
      </c>
      <c r="E25" s="19">
        <f>ROUND(F25+IF('Men''s Epée'!$A$3=1,G25,0)+LARGE($S25:$Y25,1)+LARGE($S25:$Y25,2),0)</f>
        <v>810</v>
      </c>
      <c r="F25" s="20"/>
      <c r="G25" s="21"/>
      <c r="H25" s="21">
        <v>20</v>
      </c>
      <c r="I25" s="22">
        <f>IF(OR('Men''s Epée'!$A$3=1,'Men''s Epée'!$S$3=TRUE),IF(OR(H25&gt;=49,ISNUMBER(H25)=FALSE),0,VLOOKUP(H25,PointTable,I$3,TRUE)),0)</f>
        <v>400</v>
      </c>
      <c r="J25" s="21">
        <v>18</v>
      </c>
      <c r="K25" s="22">
        <f>IF(OR('Men''s Epée'!$A$3=1,'Men''s Epée'!$T$3=TRUE),IF(OR(J25&gt;=49,ISNUMBER(J25)=FALSE),0,VLOOKUP(J25,PointTable,K$3,TRUE)),0)</f>
        <v>410</v>
      </c>
      <c r="L25" s="21">
        <v>26</v>
      </c>
      <c r="M25" s="22">
        <f>IF(OR('Men''s Epée'!$A$3=1,'Men''s Epée'!$U$3=TRUE),IF(OR(L25&gt;=49,ISNUMBER(L25)=FALSE),0,VLOOKUP(L25,PointTable,M$3,TRUE)),0)</f>
        <v>305</v>
      </c>
      <c r="N25" s="23"/>
      <c r="O25" s="23"/>
      <c r="P25" s="23"/>
      <c r="Q25" s="24"/>
      <c r="S25" s="25">
        <f t="shared" si="10"/>
        <v>400</v>
      </c>
      <c r="T25" s="25">
        <f t="shared" si="11"/>
        <v>410</v>
      </c>
      <c r="U25" s="25">
        <f t="shared" si="12"/>
        <v>305</v>
      </c>
      <c r="V25" s="25">
        <f>IF(OR('Men''s Epée'!$A$3=1,N25&gt;0),ABS(N25),0)</f>
        <v>0</v>
      </c>
      <c r="W25" s="25">
        <f>IF(OR('Men''s Epée'!$A$3=1,O25&gt;0),ABS(O25),0)</f>
        <v>0</v>
      </c>
      <c r="X25" s="25">
        <f>IF(OR('Men''s Epée'!$A$3=1,P25&gt;0),ABS(P25),0)</f>
        <v>0</v>
      </c>
      <c r="Y25" s="25">
        <f>IF(OR('Men''s Epée'!$A$3=1,Q25&gt;0),ABS(Q25),0)</f>
        <v>0</v>
      </c>
      <c r="AA25" s="12">
        <f>IF('Men''s Epée'!$S$3=TRUE,I25,0)</f>
        <v>400</v>
      </c>
      <c r="AB25" s="12">
        <f>IF('Men''s Epée'!$T$3=TRUE,K25,0)</f>
        <v>410</v>
      </c>
      <c r="AC25" s="12">
        <f>IF('Men''s Epée'!$U$3=TRUE,M25,0)</f>
        <v>305</v>
      </c>
      <c r="AD25" s="26">
        <f t="shared" si="13"/>
        <v>0</v>
      </c>
      <c r="AE25" s="26">
        <f t="shared" si="14"/>
        <v>0</v>
      </c>
      <c r="AF25" s="26">
        <f t="shared" si="15"/>
        <v>0</v>
      </c>
      <c r="AG25" s="26">
        <f t="shared" si="16"/>
        <v>0</v>
      </c>
      <c r="AH25" s="12">
        <f t="shared" si="9"/>
        <v>810</v>
      </c>
    </row>
    <row r="26" spans="1:34" ht="13.5">
      <c r="A26" s="16" t="str">
        <f t="shared" si="8"/>
        <v>23</v>
      </c>
      <c r="B26" s="16">
        <f t="shared" si="0"/>
      </c>
      <c r="C26" s="17" t="s">
        <v>55</v>
      </c>
      <c r="D26" s="18">
        <v>1961</v>
      </c>
      <c r="E26" s="19">
        <f>ROUND(F26+IF('Men''s Epée'!$A$3=1,G26,0)+LARGE($S26:$Y26,1)+LARGE($S26:$Y26,2),0)</f>
        <v>760</v>
      </c>
      <c r="F26" s="20"/>
      <c r="G26" s="21"/>
      <c r="H26" s="21">
        <v>36</v>
      </c>
      <c r="I26" s="22">
        <f>IF(OR('Men''s Epée'!$A$3=1,'Men''s Epée'!$S$3=TRUE),IF(OR(H26&gt;=49,ISNUMBER(H26)=FALSE),0,VLOOKUP(H26,PointTable,I$3,TRUE)),0)</f>
        <v>260</v>
      </c>
      <c r="J26" s="21" t="s">
        <v>5</v>
      </c>
      <c r="K26" s="22">
        <f>IF(OR('Men''s Epée'!$A$3=1,'Men''s Epée'!$T$3=TRUE),IF(OR(J26&gt;=49,ISNUMBER(J26)=FALSE),0,VLOOKUP(J26,PointTable,K$3,TRUE)),0)</f>
        <v>0</v>
      </c>
      <c r="L26" s="21">
        <v>16</v>
      </c>
      <c r="M26" s="22">
        <f>IF(OR('Men''s Epée'!$A$3=1,'Men''s Epée'!$U$3=TRUE),IF(OR(L26&gt;=49,ISNUMBER(L26)=FALSE),0,VLOOKUP(L26,PointTable,M$3,TRUE)),0)</f>
        <v>500</v>
      </c>
      <c r="N26" s="23"/>
      <c r="O26" s="23"/>
      <c r="P26" s="23"/>
      <c r="Q26" s="24"/>
      <c r="S26" s="25">
        <f t="shared" si="10"/>
        <v>260</v>
      </c>
      <c r="T26" s="25">
        <f t="shared" si="11"/>
        <v>0</v>
      </c>
      <c r="U26" s="25">
        <f t="shared" si="12"/>
        <v>500</v>
      </c>
      <c r="V26" s="25">
        <f>IF(OR('Men''s Epée'!$A$3=1,N26&gt;0),ABS(N26),0)</f>
        <v>0</v>
      </c>
      <c r="W26" s="25">
        <f>IF(OR('Men''s Epée'!$A$3=1,O26&gt;0),ABS(O26),0)</f>
        <v>0</v>
      </c>
      <c r="X26" s="25">
        <f>IF(OR('Men''s Epée'!$A$3=1,P26&gt;0),ABS(P26),0)</f>
        <v>0</v>
      </c>
      <c r="Y26" s="25">
        <f>IF(OR('Men''s Epée'!$A$3=1,Q26&gt;0),ABS(Q26),0)</f>
        <v>0</v>
      </c>
      <c r="AA26" s="12">
        <f>IF('Men''s Epée'!$S$3=TRUE,I26,0)</f>
        <v>260</v>
      </c>
      <c r="AB26" s="12">
        <f>IF('Men''s Epée'!$T$3=TRUE,K26,0)</f>
        <v>0</v>
      </c>
      <c r="AC26" s="12">
        <f>IF('Men''s Epée'!$U$3=TRUE,M26,0)</f>
        <v>500</v>
      </c>
      <c r="AD26" s="26">
        <f t="shared" si="13"/>
        <v>0</v>
      </c>
      <c r="AE26" s="26">
        <f t="shared" si="14"/>
        <v>0</v>
      </c>
      <c r="AF26" s="26">
        <f t="shared" si="15"/>
        <v>0</v>
      </c>
      <c r="AG26" s="26">
        <f t="shared" si="16"/>
        <v>0</v>
      </c>
      <c r="AH26" s="12">
        <f t="shared" si="9"/>
        <v>760</v>
      </c>
    </row>
    <row r="27" spans="1:34" ht="13.5">
      <c r="A27" s="16" t="str">
        <f t="shared" si="8"/>
        <v>24</v>
      </c>
      <c r="B27" s="16" t="str">
        <f t="shared" si="0"/>
        <v>#</v>
      </c>
      <c r="C27" s="17" t="s">
        <v>323</v>
      </c>
      <c r="D27" s="18">
        <v>1984</v>
      </c>
      <c r="E27" s="19">
        <f>ROUND(F27+IF('Men''s Epée'!$A$3=1,G27,0)+LARGE($S27:$Y27,1)+LARGE($S27:$Y27,2),0)</f>
        <v>755</v>
      </c>
      <c r="F27" s="20"/>
      <c r="G27" s="21"/>
      <c r="H27" s="21" t="s">
        <v>5</v>
      </c>
      <c r="I27" s="22">
        <f>IF(OR('Men''s Epée'!$A$3=1,'Men''s Epée'!$S$3=TRUE),IF(OR(H27&gt;=49,ISNUMBER(H27)=FALSE),0,VLOOKUP(H27,PointTable,I$3,TRUE)),0)</f>
        <v>0</v>
      </c>
      <c r="J27" s="21">
        <v>5</v>
      </c>
      <c r="K27" s="22">
        <f>IF(OR('Men''s Epée'!$A$3=1,'Men''s Epée'!$T$3=TRUE),IF(OR(J27&gt;=49,ISNUMBER(J27)=FALSE),0,VLOOKUP(J27,PointTable,K$3,TRUE)),0)</f>
        <v>755</v>
      </c>
      <c r="L27" s="21" t="s">
        <v>5</v>
      </c>
      <c r="M27" s="22">
        <f>IF(OR('Men''s Epée'!$A$3=1,'Men''s Epée'!$U$3=TRUE),IF(OR(L27&gt;=49,ISNUMBER(L27)=FALSE),0,VLOOKUP(L27,PointTable,M$3,TRUE)),0)</f>
        <v>0</v>
      </c>
      <c r="N27" s="23"/>
      <c r="O27" s="23"/>
      <c r="P27" s="23"/>
      <c r="Q27" s="24"/>
      <c r="S27" s="25">
        <f t="shared" si="10"/>
        <v>0</v>
      </c>
      <c r="T27" s="25">
        <f t="shared" si="11"/>
        <v>755</v>
      </c>
      <c r="U27" s="25">
        <f t="shared" si="12"/>
        <v>0</v>
      </c>
      <c r="V27" s="25">
        <f>IF(OR('Men''s Epée'!$A$3=1,N27&gt;0),ABS(N27),0)</f>
        <v>0</v>
      </c>
      <c r="W27" s="25">
        <f>IF(OR('Men''s Epée'!$A$3=1,O27&gt;0),ABS(O27),0)</f>
        <v>0</v>
      </c>
      <c r="X27" s="25">
        <f>IF(OR('Men''s Epée'!$A$3=1,P27&gt;0),ABS(P27),0)</f>
        <v>0</v>
      </c>
      <c r="Y27" s="25">
        <f>IF(OR('Men''s Epée'!$A$3=1,Q27&gt;0),ABS(Q27),0)</f>
        <v>0</v>
      </c>
      <c r="AA27" s="12">
        <f>IF('Men''s Epée'!$S$3=TRUE,I27,0)</f>
        <v>0</v>
      </c>
      <c r="AB27" s="12">
        <f>IF('Men''s Epée'!$T$3=TRUE,K27,0)</f>
        <v>755</v>
      </c>
      <c r="AC27" s="12">
        <f>IF('Men''s Epée'!$U$3=TRUE,M27,0)</f>
        <v>0</v>
      </c>
      <c r="AD27" s="26">
        <f t="shared" si="13"/>
        <v>0</v>
      </c>
      <c r="AE27" s="26">
        <f t="shared" si="14"/>
        <v>0</v>
      </c>
      <c r="AF27" s="26">
        <f t="shared" si="15"/>
        <v>0</v>
      </c>
      <c r="AG27" s="26">
        <f t="shared" si="16"/>
        <v>0</v>
      </c>
      <c r="AH27" s="12">
        <f t="shared" si="9"/>
        <v>755</v>
      </c>
    </row>
    <row r="28" spans="1:34" ht="13.5">
      <c r="A28" s="16" t="str">
        <f t="shared" si="8"/>
        <v>25</v>
      </c>
      <c r="B28" s="16" t="str">
        <f t="shared" si="0"/>
        <v>#</v>
      </c>
      <c r="C28" s="17" t="s">
        <v>199</v>
      </c>
      <c r="D28" s="18">
        <v>1987</v>
      </c>
      <c r="E28" s="19">
        <f>ROUND(F28+IF('Men''s Epée'!$A$3=1,G28,0)+LARGE($S28:$Y28,1)+LARGE($S28:$Y28,2),0)</f>
        <v>725</v>
      </c>
      <c r="F28" s="20"/>
      <c r="G28" s="21"/>
      <c r="H28" s="21">
        <v>13</v>
      </c>
      <c r="I28" s="22">
        <f>IF(OR('Men''s Epée'!$A$3=1,'Men''s Epée'!$S$3=TRUE),IF(OR(H28&gt;=49,ISNUMBER(H28)=FALSE),0,VLOOKUP(H28,PointTable,I$3,TRUE)),0)</f>
        <v>525</v>
      </c>
      <c r="J28" s="21">
        <v>48</v>
      </c>
      <c r="K28" s="22">
        <f>IF(OR('Men''s Epée'!$A$3=1,'Men''s Epée'!$T$3=TRUE),IF(OR(J28&gt;=49,ISNUMBER(J28)=FALSE),0,VLOOKUP(J28,PointTable,K$3,TRUE)),0)</f>
        <v>200</v>
      </c>
      <c r="L28" s="21" t="s">
        <v>5</v>
      </c>
      <c r="M28" s="22">
        <f>IF(OR('Men''s Epée'!$A$3=1,'Men''s Epée'!$U$3=TRUE),IF(OR(L28&gt;=49,ISNUMBER(L28)=FALSE),0,VLOOKUP(L28,PointTable,M$3,TRUE)),0)</f>
        <v>0</v>
      </c>
      <c r="N28" s="23"/>
      <c r="O28" s="23"/>
      <c r="P28" s="23"/>
      <c r="Q28" s="24"/>
      <c r="S28" s="25">
        <f t="shared" si="10"/>
        <v>525</v>
      </c>
      <c r="T28" s="25">
        <f t="shared" si="11"/>
        <v>200</v>
      </c>
      <c r="U28" s="25">
        <f t="shared" si="12"/>
        <v>0</v>
      </c>
      <c r="V28" s="25">
        <f>IF(OR('Men''s Epée'!$A$3=1,N28&gt;0),ABS(N28),0)</f>
        <v>0</v>
      </c>
      <c r="W28" s="25">
        <f>IF(OR('Men''s Epée'!$A$3=1,O28&gt;0),ABS(O28),0)</f>
        <v>0</v>
      </c>
      <c r="X28" s="25">
        <f>IF(OR('Men''s Epée'!$A$3=1,P28&gt;0),ABS(P28),0)</f>
        <v>0</v>
      </c>
      <c r="Y28" s="25">
        <f>IF(OR('Men''s Epée'!$A$3=1,Q28&gt;0),ABS(Q28),0)</f>
        <v>0</v>
      </c>
      <c r="AA28" s="12">
        <f>IF('Men''s Epée'!$S$3=TRUE,I28,0)</f>
        <v>525</v>
      </c>
      <c r="AB28" s="12">
        <f>IF('Men''s Epée'!$T$3=TRUE,K28,0)</f>
        <v>200</v>
      </c>
      <c r="AC28" s="12">
        <f>IF('Men''s Epée'!$U$3=TRUE,M28,0)</f>
        <v>0</v>
      </c>
      <c r="AD28" s="26">
        <f t="shared" si="13"/>
        <v>0</v>
      </c>
      <c r="AE28" s="26">
        <f t="shared" si="14"/>
        <v>0</v>
      </c>
      <c r="AF28" s="26">
        <f t="shared" si="15"/>
        <v>0</v>
      </c>
      <c r="AG28" s="26">
        <f t="shared" si="16"/>
        <v>0</v>
      </c>
      <c r="AH28" s="12">
        <f t="shared" si="9"/>
        <v>725</v>
      </c>
    </row>
    <row r="29" spans="1:34" ht="13.5">
      <c r="A29" s="16" t="str">
        <f t="shared" si="8"/>
        <v>26</v>
      </c>
      <c r="B29" s="16">
        <f t="shared" si="0"/>
      </c>
      <c r="C29" s="17" t="s">
        <v>62</v>
      </c>
      <c r="D29" s="18">
        <v>1959</v>
      </c>
      <c r="E29" s="19">
        <f>ROUND(F29+IF('Men''s Epée'!$A$3=1,G29,0)+LARGE($S29:$Y29,1)+LARGE($S29:$Y29,2),0)</f>
        <v>720</v>
      </c>
      <c r="F29" s="20"/>
      <c r="G29" s="21"/>
      <c r="H29" s="21">
        <v>24</v>
      </c>
      <c r="I29" s="22">
        <f>IF(OR('Men''s Epée'!$A$3=1,'Men''s Epée'!$S$3=TRUE),IF(OR(H29&gt;=49,ISNUMBER(H29)=FALSE),0,VLOOKUP(H29,PointTable,I$3,TRUE)),0)</f>
        <v>380</v>
      </c>
      <c r="J29" s="21">
        <v>38</v>
      </c>
      <c r="K29" s="22">
        <f>IF(OR('Men''s Epée'!$A$3=1,'Men''s Epée'!$T$3=TRUE),IF(OR(J29&gt;=49,ISNUMBER(J29)=FALSE),0,VLOOKUP(J29,PointTable,K$3,TRUE)),0)</f>
        <v>250</v>
      </c>
      <c r="L29" s="21">
        <v>19</v>
      </c>
      <c r="M29" s="22">
        <f>IF(OR('Men''s Epée'!$A$3=1,'Men''s Epée'!$U$3=TRUE),IF(OR(L29&gt;=49,ISNUMBER(L29)=FALSE),0,VLOOKUP(L29,PointTable,M$3,TRUE)),0)</f>
        <v>340</v>
      </c>
      <c r="N29" s="23"/>
      <c r="O29" s="23"/>
      <c r="P29" s="23"/>
      <c r="Q29" s="24"/>
      <c r="S29" s="25">
        <f t="shared" si="10"/>
        <v>380</v>
      </c>
      <c r="T29" s="25">
        <f t="shared" si="11"/>
        <v>250</v>
      </c>
      <c r="U29" s="25">
        <f t="shared" si="12"/>
        <v>340</v>
      </c>
      <c r="V29" s="25">
        <f>IF(OR('Men''s Epée'!$A$3=1,N29&gt;0),ABS(N29),0)</f>
        <v>0</v>
      </c>
      <c r="W29" s="25">
        <f>IF(OR('Men''s Epée'!$A$3=1,O29&gt;0),ABS(O29),0)</f>
        <v>0</v>
      </c>
      <c r="X29" s="25">
        <f>IF(OR('Men''s Epée'!$A$3=1,P29&gt;0),ABS(P29),0)</f>
        <v>0</v>
      </c>
      <c r="Y29" s="25">
        <f>IF(OR('Men''s Epée'!$A$3=1,Q29&gt;0),ABS(Q29),0)</f>
        <v>0</v>
      </c>
      <c r="AA29" s="12">
        <f>IF('Men''s Epée'!$S$3=TRUE,I29,0)</f>
        <v>380</v>
      </c>
      <c r="AB29" s="12">
        <f>IF('Men''s Epée'!$T$3=TRUE,K29,0)</f>
        <v>250</v>
      </c>
      <c r="AC29" s="12">
        <f>IF('Men''s Epée'!$U$3=TRUE,M29,0)</f>
        <v>340</v>
      </c>
      <c r="AD29" s="26">
        <f t="shared" si="13"/>
        <v>0</v>
      </c>
      <c r="AE29" s="26">
        <f t="shared" si="14"/>
        <v>0</v>
      </c>
      <c r="AF29" s="26">
        <f t="shared" si="15"/>
        <v>0</v>
      </c>
      <c r="AG29" s="26">
        <f t="shared" si="16"/>
        <v>0</v>
      </c>
      <c r="AH29" s="12">
        <f t="shared" si="9"/>
        <v>720</v>
      </c>
    </row>
    <row r="30" spans="1:34" ht="13.5">
      <c r="A30" s="16" t="str">
        <f t="shared" si="8"/>
        <v>27</v>
      </c>
      <c r="B30" s="16" t="str">
        <f t="shared" si="0"/>
        <v>#</v>
      </c>
      <c r="C30" s="17" t="s">
        <v>186</v>
      </c>
      <c r="D30" s="18">
        <v>1986</v>
      </c>
      <c r="E30" s="19">
        <f>ROUND(F30+IF('Men''s Epée'!$A$3=1,G30,0)+LARGE($S30:$Y30,1)+LARGE($S30:$Y30,2),0)</f>
        <v>715</v>
      </c>
      <c r="F30" s="20"/>
      <c r="G30" s="21"/>
      <c r="H30" s="21" t="s">
        <v>5</v>
      </c>
      <c r="I30" s="22">
        <f>IF(OR('Men''s Epée'!$A$3=1,'Men''s Epée'!$S$3=TRUE),IF(OR(H30&gt;=49,ISNUMBER(H30)=FALSE),0,VLOOKUP(H30,PointTable,I$3,TRUE)),0)</f>
        <v>0</v>
      </c>
      <c r="J30" s="21">
        <v>23</v>
      </c>
      <c r="K30" s="22">
        <f>IF(OR('Men''s Epée'!$A$3=1,'Men''s Epée'!$T$3=TRUE),IF(OR(J30&gt;=49,ISNUMBER(J30)=FALSE),0,VLOOKUP(J30,PointTable,K$3,TRUE)),0)</f>
        <v>385</v>
      </c>
      <c r="L30" s="21">
        <v>21</v>
      </c>
      <c r="M30" s="22">
        <f>IF(OR('Men''s Epée'!$A$3=1,'Men''s Epée'!$U$3=TRUE),IF(OR(L30&gt;=49,ISNUMBER(L30)=FALSE),0,VLOOKUP(L30,PointTable,M$3,TRUE)),0)</f>
        <v>330</v>
      </c>
      <c r="N30" s="23"/>
      <c r="O30" s="23"/>
      <c r="P30" s="23"/>
      <c r="Q30" s="24"/>
      <c r="S30" s="25">
        <f t="shared" si="10"/>
        <v>0</v>
      </c>
      <c r="T30" s="25">
        <f t="shared" si="11"/>
        <v>385</v>
      </c>
      <c r="U30" s="25">
        <f t="shared" si="12"/>
        <v>330</v>
      </c>
      <c r="V30" s="25">
        <f>IF(OR('Men''s Epée'!$A$3=1,N30&gt;0),ABS(N30),0)</f>
        <v>0</v>
      </c>
      <c r="W30" s="25">
        <f>IF(OR('Men''s Epée'!$A$3=1,O30&gt;0),ABS(O30),0)</f>
        <v>0</v>
      </c>
      <c r="X30" s="25">
        <f>IF(OR('Men''s Epée'!$A$3=1,P30&gt;0),ABS(P30),0)</f>
        <v>0</v>
      </c>
      <c r="Y30" s="25">
        <f>IF(OR('Men''s Epée'!$A$3=1,Q30&gt;0),ABS(Q30),0)</f>
        <v>0</v>
      </c>
      <c r="AA30" s="12">
        <f>IF('Men''s Epée'!$S$3=TRUE,I30,0)</f>
        <v>0</v>
      </c>
      <c r="AB30" s="12">
        <f>IF('Men''s Epée'!$T$3=TRUE,K30,0)</f>
        <v>385</v>
      </c>
      <c r="AC30" s="12">
        <f>IF('Men''s Epée'!$U$3=TRUE,M30,0)</f>
        <v>330</v>
      </c>
      <c r="AD30" s="26">
        <f t="shared" si="13"/>
        <v>0</v>
      </c>
      <c r="AE30" s="26">
        <f t="shared" si="14"/>
        <v>0</v>
      </c>
      <c r="AF30" s="26">
        <f t="shared" si="15"/>
        <v>0</v>
      </c>
      <c r="AG30" s="26">
        <f t="shared" si="16"/>
        <v>0</v>
      </c>
      <c r="AH30" s="12">
        <f t="shared" si="9"/>
        <v>715</v>
      </c>
    </row>
    <row r="31" spans="1:34" ht="13.5">
      <c r="A31" s="16" t="str">
        <f t="shared" si="8"/>
        <v>28</v>
      </c>
      <c r="B31" s="16" t="str">
        <f t="shared" si="0"/>
        <v>#</v>
      </c>
      <c r="C31" s="17" t="s">
        <v>150</v>
      </c>
      <c r="D31" s="18">
        <v>1983</v>
      </c>
      <c r="E31" s="19">
        <f>ROUND(F31+IF('Men''s Epée'!$A$3=1,G31,0)+LARGE($S31:$Y31,1)+LARGE($S31:$Y31,2),0)</f>
        <v>685</v>
      </c>
      <c r="F31" s="20"/>
      <c r="G31" s="21"/>
      <c r="H31" s="21" t="s">
        <v>5</v>
      </c>
      <c r="I31" s="22">
        <f>IF(OR('Men''s Epée'!$A$3=1,'Men''s Epée'!$S$3=TRUE),IF(OR(H31&gt;=49,ISNUMBER(H31)=FALSE),0,VLOOKUP(H31,PointTable,I$3,TRUE)),0)</f>
        <v>0</v>
      </c>
      <c r="J31" s="21" t="s">
        <v>5</v>
      </c>
      <c r="K31" s="22">
        <f>IF(OR('Men''s Epée'!$A$3=1,'Men''s Epée'!$T$3=TRUE),IF(OR(J31&gt;=49,ISNUMBER(J31)=FALSE),0,VLOOKUP(J31,PointTable,K$3,TRUE)),0)</f>
        <v>0</v>
      </c>
      <c r="L31" s="21">
        <v>8</v>
      </c>
      <c r="M31" s="22">
        <f>IF(OR('Men''s Epée'!$A$3=1,'Men''s Epée'!$U$3=TRUE),IF(OR(L31&gt;=49,ISNUMBER(L31)=FALSE),0,VLOOKUP(L31,PointTable,M$3,TRUE)),0)</f>
        <v>685</v>
      </c>
      <c r="N31" s="23"/>
      <c r="O31" s="23"/>
      <c r="P31" s="23"/>
      <c r="Q31" s="24"/>
      <c r="S31" s="25">
        <f t="shared" si="10"/>
        <v>0</v>
      </c>
      <c r="T31" s="25">
        <f t="shared" si="11"/>
        <v>0</v>
      </c>
      <c r="U31" s="25">
        <f t="shared" si="12"/>
        <v>685</v>
      </c>
      <c r="V31" s="25">
        <f>IF(OR('Men''s Epée'!$A$3=1,N31&gt;0),ABS(N31),0)</f>
        <v>0</v>
      </c>
      <c r="W31" s="25">
        <f>IF(OR('Men''s Epée'!$A$3=1,O31&gt;0),ABS(O31),0)</f>
        <v>0</v>
      </c>
      <c r="X31" s="25">
        <f>IF(OR('Men''s Epée'!$A$3=1,P31&gt;0),ABS(P31),0)</f>
        <v>0</v>
      </c>
      <c r="Y31" s="25">
        <f>IF(OR('Men''s Epée'!$A$3=1,Q31&gt;0),ABS(Q31),0)</f>
        <v>0</v>
      </c>
      <c r="AA31" s="12">
        <f>IF('Men''s Epée'!$S$3=TRUE,I31,0)</f>
        <v>0</v>
      </c>
      <c r="AB31" s="12">
        <f>IF('Men''s Epée'!$T$3=TRUE,K31,0)</f>
        <v>0</v>
      </c>
      <c r="AC31" s="12">
        <f>IF('Men''s Epée'!$U$3=TRUE,M31,0)</f>
        <v>685</v>
      </c>
      <c r="AD31" s="26">
        <f t="shared" si="13"/>
        <v>0</v>
      </c>
      <c r="AE31" s="26">
        <f t="shared" si="14"/>
        <v>0</v>
      </c>
      <c r="AF31" s="26">
        <f t="shared" si="15"/>
        <v>0</v>
      </c>
      <c r="AG31" s="26">
        <f t="shared" si="16"/>
        <v>0</v>
      </c>
      <c r="AH31" s="12">
        <f t="shared" si="9"/>
        <v>685</v>
      </c>
    </row>
    <row r="32" spans="1:34" ht="13.5">
      <c r="A32" s="16" t="str">
        <f t="shared" si="8"/>
        <v>29T</v>
      </c>
      <c r="B32" s="16" t="str">
        <f t="shared" si="0"/>
        <v>#</v>
      </c>
      <c r="C32" s="17" t="s">
        <v>64</v>
      </c>
      <c r="D32" s="18">
        <v>1984</v>
      </c>
      <c r="E32" s="19">
        <f>ROUND(F32+IF('Men''s Epée'!$A$3=1,G32,0)+LARGE($S32:$Y32,1)+LARGE($S32:$Y32,2),0)</f>
        <v>625</v>
      </c>
      <c r="F32" s="20"/>
      <c r="G32" s="21"/>
      <c r="H32" s="21">
        <v>27</v>
      </c>
      <c r="I32" s="22">
        <f>IF(OR('Men''s Epée'!$A$3=1,'Men''s Epée'!$S$3=TRUE),IF(OR(H32&gt;=49,ISNUMBER(H32)=FALSE),0,VLOOKUP(H32,PointTable,I$3,TRUE)),0)</f>
        <v>305</v>
      </c>
      <c r="J32" s="21">
        <v>31</v>
      </c>
      <c r="K32" s="22">
        <f>IF(OR('Men''s Epée'!$A$3=1,'Men''s Epée'!$T$3=TRUE),IF(OR(J32&gt;=49,ISNUMBER(J32)=FALSE),0,VLOOKUP(J32,PointTable,K$3,TRUE)),0)</f>
        <v>285</v>
      </c>
      <c r="L32" s="21">
        <v>23</v>
      </c>
      <c r="M32" s="22">
        <f>IF(OR('Men''s Epée'!$A$3=1,'Men''s Epée'!$U$3=TRUE),IF(OR(L32&gt;=49,ISNUMBER(L32)=FALSE),0,VLOOKUP(L32,PointTable,M$3,TRUE)),0)</f>
        <v>320</v>
      </c>
      <c r="N32" s="23"/>
      <c r="O32" s="23"/>
      <c r="P32" s="23"/>
      <c r="Q32" s="24"/>
      <c r="S32" s="25">
        <f>I32</f>
        <v>305</v>
      </c>
      <c r="T32" s="25">
        <f>K32</f>
        <v>285</v>
      </c>
      <c r="U32" s="25">
        <f>M32</f>
        <v>320</v>
      </c>
      <c r="V32" s="25">
        <f>IF(OR('Men''s Epée'!$A$3=1,N32&gt;0),ABS(N32),0)</f>
        <v>0</v>
      </c>
      <c r="W32" s="25">
        <f>IF(OR('Men''s Epée'!$A$3=1,O32&gt;0),ABS(O32),0)</f>
        <v>0</v>
      </c>
      <c r="X32" s="25">
        <f>IF(OR('Men''s Epée'!$A$3=1,P32&gt;0),ABS(P32),0)</f>
        <v>0</v>
      </c>
      <c r="Y32" s="25">
        <f>IF(OR('Men''s Epée'!$A$3=1,Q32&gt;0),ABS(Q32),0)</f>
        <v>0</v>
      </c>
      <c r="AA32" s="12">
        <f>IF('Men''s Epée'!$S$3=TRUE,I32,0)</f>
        <v>305</v>
      </c>
      <c r="AB32" s="12">
        <f>IF('Men''s Epée'!$T$3=TRUE,K32,0)</f>
        <v>285</v>
      </c>
      <c r="AC32" s="12">
        <f>IF('Men''s Epée'!$U$3=TRUE,M32,0)</f>
        <v>320</v>
      </c>
      <c r="AD32" s="26">
        <f aca="true" t="shared" si="17" ref="AD32:AG35">MAX(N32,0)</f>
        <v>0</v>
      </c>
      <c r="AE32" s="26">
        <f t="shared" si="17"/>
        <v>0</v>
      </c>
      <c r="AF32" s="26">
        <f t="shared" si="17"/>
        <v>0</v>
      </c>
      <c r="AG32" s="26">
        <f t="shared" si="17"/>
        <v>0</v>
      </c>
      <c r="AH32" s="12">
        <f t="shared" si="9"/>
        <v>625</v>
      </c>
    </row>
    <row r="33" spans="1:34" ht="13.5">
      <c r="A33" s="16" t="str">
        <f t="shared" si="8"/>
        <v>29T</v>
      </c>
      <c r="B33" s="16">
        <f t="shared" si="0"/>
      </c>
      <c r="C33" s="17" t="s">
        <v>58</v>
      </c>
      <c r="D33" s="18">
        <v>1969</v>
      </c>
      <c r="E33" s="19">
        <f>ROUND(F33+IF('Men''s Epée'!$A$3=1,G33,0)+LARGE($S33:$Y33,1)+LARGE($S33:$Y33,2),0)</f>
        <v>625</v>
      </c>
      <c r="F33" s="20"/>
      <c r="G33" s="21"/>
      <c r="H33" s="21">
        <v>26</v>
      </c>
      <c r="I33" s="22">
        <f>IF(OR('Men''s Epée'!$A$3=1,'Men''s Epée'!$S$3=TRUE),IF(OR(H33&gt;=49,ISNUMBER(H33)=FALSE),0,VLOOKUP(H33,PointTable,I$3,TRUE)),0)</f>
        <v>310</v>
      </c>
      <c r="J33" s="21" t="s">
        <v>5</v>
      </c>
      <c r="K33" s="22">
        <f>IF(OR('Men''s Epée'!$A$3=1,'Men''s Epée'!$T$3=TRUE),IF(OR(J33&gt;=49,ISNUMBER(J33)=FALSE),0,VLOOKUP(J33,PointTable,K$3,TRUE)),0)</f>
        <v>0</v>
      </c>
      <c r="L33" s="21">
        <v>24</v>
      </c>
      <c r="M33" s="22">
        <f>IF(OR('Men''s Epée'!$A$3=1,'Men''s Epée'!$U$3=TRUE),IF(OR(L33&gt;=49,ISNUMBER(L33)=FALSE),0,VLOOKUP(L33,PointTable,M$3,TRUE)),0)</f>
        <v>315</v>
      </c>
      <c r="N33" s="23">
        <v>-268.226</v>
      </c>
      <c r="O33" s="23"/>
      <c r="P33" s="23"/>
      <c r="Q33" s="24"/>
      <c r="S33" s="25">
        <f>I33</f>
        <v>310</v>
      </c>
      <c r="T33" s="25">
        <f>K33</f>
        <v>0</v>
      </c>
      <c r="U33" s="25">
        <f>M33</f>
        <v>315</v>
      </c>
      <c r="V33" s="25">
        <f>IF(OR('Men''s Epée'!$A$3=1,N33&gt;0),ABS(N33),0)</f>
        <v>268.226</v>
      </c>
      <c r="W33" s="25">
        <f>IF(OR('Men''s Epée'!$A$3=1,O33&gt;0),ABS(O33),0)</f>
        <v>0</v>
      </c>
      <c r="X33" s="25">
        <f>IF(OR('Men''s Epée'!$A$3=1,P33&gt;0),ABS(P33),0)</f>
        <v>0</v>
      </c>
      <c r="Y33" s="25">
        <f>IF(OR('Men''s Epée'!$A$3=1,Q33&gt;0),ABS(Q33),0)</f>
        <v>0</v>
      </c>
      <c r="AA33" s="12">
        <f>IF('Men''s Epée'!$S$3=TRUE,I33,0)</f>
        <v>310</v>
      </c>
      <c r="AB33" s="12">
        <f>IF('Men''s Epée'!$T$3=TRUE,K33,0)</f>
        <v>0</v>
      </c>
      <c r="AC33" s="12">
        <f>IF('Men''s Epée'!$U$3=TRUE,M33,0)</f>
        <v>315</v>
      </c>
      <c r="AD33" s="26">
        <f t="shared" si="17"/>
        <v>0</v>
      </c>
      <c r="AE33" s="26">
        <f t="shared" si="17"/>
        <v>0</v>
      </c>
      <c r="AF33" s="26">
        <f t="shared" si="17"/>
        <v>0</v>
      </c>
      <c r="AG33" s="26">
        <f t="shared" si="17"/>
        <v>0</v>
      </c>
      <c r="AH33" s="12">
        <f t="shared" si="9"/>
        <v>625</v>
      </c>
    </row>
    <row r="34" spans="1:34" ht="13.5">
      <c r="A34" s="16" t="str">
        <f t="shared" si="8"/>
        <v>31</v>
      </c>
      <c r="B34" s="16" t="str">
        <f t="shared" si="0"/>
        <v>#</v>
      </c>
      <c r="C34" s="17" t="s">
        <v>149</v>
      </c>
      <c r="D34" s="18">
        <v>1986</v>
      </c>
      <c r="E34" s="19">
        <f>ROUND(F34+IF('Men''s Epée'!$A$3=1,G34,0)+LARGE($S34:$Y34,1)+LARGE($S34:$Y34,2),0)</f>
        <v>583</v>
      </c>
      <c r="F34" s="20"/>
      <c r="G34" s="21"/>
      <c r="H34" s="21">
        <v>35</v>
      </c>
      <c r="I34" s="22">
        <f>IF(OR('Men''s Epée'!$A$3=1,'Men''s Epée'!$S$3=TRUE),IF(OR(H34&gt;=49,ISNUMBER(H34)=FALSE),0,VLOOKUP(H34,PointTable,I$3,TRUE)),0)</f>
        <v>265</v>
      </c>
      <c r="J34" s="21">
        <v>33.5</v>
      </c>
      <c r="K34" s="22">
        <f>IF(OR('Men''s Epée'!$A$3=1,'Men''s Epée'!$T$3=TRUE),IF(OR(J34&gt;=49,ISNUMBER(J34)=FALSE),0,VLOOKUP(J34,PointTable,K$3,TRUE)),0)</f>
        <v>272.5</v>
      </c>
      <c r="L34" s="21">
        <v>25</v>
      </c>
      <c r="M34" s="22">
        <f>IF(OR('Men''s Epée'!$A$3=1,'Men''s Epée'!$U$3=TRUE),IF(OR(L34&gt;=49,ISNUMBER(L34)=FALSE),0,VLOOKUP(L34,PointTable,M$3,TRUE)),0)</f>
        <v>310</v>
      </c>
      <c r="N34" s="23"/>
      <c r="O34" s="23"/>
      <c r="P34" s="23"/>
      <c r="Q34" s="24"/>
      <c r="S34" s="25">
        <f>I34</f>
        <v>265</v>
      </c>
      <c r="T34" s="25">
        <f>K34</f>
        <v>272.5</v>
      </c>
      <c r="U34" s="25">
        <f>M34</f>
        <v>310</v>
      </c>
      <c r="V34" s="25">
        <f>IF(OR('Men''s Epée'!$A$3=1,N34&gt;0),ABS(N34),0)</f>
        <v>0</v>
      </c>
      <c r="W34" s="25">
        <f>IF(OR('Men''s Epée'!$A$3=1,O34&gt;0),ABS(O34),0)</f>
        <v>0</v>
      </c>
      <c r="X34" s="25">
        <f>IF(OR('Men''s Epée'!$A$3=1,P34&gt;0),ABS(P34),0)</f>
        <v>0</v>
      </c>
      <c r="Y34" s="25">
        <f>IF(OR('Men''s Epée'!$A$3=1,Q34&gt;0),ABS(Q34),0)</f>
        <v>0</v>
      </c>
      <c r="AA34" s="12">
        <f>IF('Men''s Epée'!$S$3=TRUE,I34,0)</f>
        <v>265</v>
      </c>
      <c r="AB34" s="12">
        <f>IF('Men''s Epée'!$T$3=TRUE,K34,0)</f>
        <v>272.5</v>
      </c>
      <c r="AC34" s="12">
        <f>IF('Men''s Epée'!$U$3=TRUE,M34,0)</f>
        <v>310</v>
      </c>
      <c r="AD34" s="26">
        <f t="shared" si="17"/>
        <v>0</v>
      </c>
      <c r="AE34" s="26">
        <f t="shared" si="17"/>
        <v>0</v>
      </c>
      <c r="AF34" s="26">
        <f t="shared" si="17"/>
        <v>0</v>
      </c>
      <c r="AG34" s="26">
        <f t="shared" si="17"/>
        <v>0</v>
      </c>
      <c r="AH34" s="12">
        <f t="shared" si="9"/>
        <v>583</v>
      </c>
    </row>
    <row r="35" spans="1:34" ht="13.5">
      <c r="A35" s="16" t="str">
        <f t="shared" si="8"/>
        <v>32</v>
      </c>
      <c r="B35" s="16">
        <f t="shared" si="0"/>
      </c>
      <c r="C35" s="17" t="s">
        <v>127</v>
      </c>
      <c r="D35" s="18">
        <v>1965</v>
      </c>
      <c r="E35" s="19">
        <f>ROUND(F35+IF('Men''s Epée'!$A$3=1,G35,0)+LARGE($S35:$Y35,1)+LARGE($S35:$Y35,2),0)</f>
        <v>565</v>
      </c>
      <c r="F35" s="20"/>
      <c r="G35" s="21"/>
      <c r="H35" s="21" t="s">
        <v>5</v>
      </c>
      <c r="I35" s="22">
        <f>IF(OR('Men''s Epée'!$A$3=1,'Men''s Epée'!$S$3=TRUE),IF(OR(H35&gt;=49,ISNUMBER(H35)=FALSE),0,VLOOKUP(H35,PointTable,I$3,TRUE)),0)</f>
        <v>0</v>
      </c>
      <c r="J35" s="21">
        <v>32</v>
      </c>
      <c r="K35" s="22">
        <f>IF(OR('Men''s Epée'!$A$3=1,'Men''s Epée'!$T$3=TRUE),IF(OR(J35&gt;=49,ISNUMBER(J35)=FALSE),0,VLOOKUP(J35,PointTable,K$3,TRUE)),0)</f>
        <v>280</v>
      </c>
      <c r="L35" s="21">
        <v>30</v>
      </c>
      <c r="M35" s="22">
        <f>IF(OR('Men''s Epée'!$A$3=1,'Men''s Epée'!$U$3=TRUE),IF(OR(L35&gt;=49,ISNUMBER(L35)=FALSE),0,VLOOKUP(L35,PointTable,M$3,TRUE)),0)</f>
        <v>285</v>
      </c>
      <c r="N35" s="23"/>
      <c r="O35" s="23"/>
      <c r="P35" s="23"/>
      <c r="Q35" s="24"/>
      <c r="S35" s="25">
        <f>I35</f>
        <v>0</v>
      </c>
      <c r="T35" s="25">
        <f>K35</f>
        <v>280</v>
      </c>
      <c r="U35" s="25">
        <f>M35</f>
        <v>285</v>
      </c>
      <c r="V35" s="25">
        <f>IF(OR('Men''s Epée'!$A$3=1,N35&gt;0),ABS(N35),0)</f>
        <v>0</v>
      </c>
      <c r="W35" s="25">
        <f>IF(OR('Men''s Epée'!$A$3=1,O35&gt;0),ABS(O35),0)</f>
        <v>0</v>
      </c>
      <c r="X35" s="25">
        <f>IF(OR('Men''s Epée'!$A$3=1,P35&gt;0),ABS(P35),0)</f>
        <v>0</v>
      </c>
      <c r="Y35" s="25">
        <f>IF(OR('Men''s Epée'!$A$3=1,Q35&gt;0),ABS(Q35),0)</f>
        <v>0</v>
      </c>
      <c r="AA35" s="12">
        <f>IF('Men''s Epée'!$S$3=TRUE,I35,0)</f>
        <v>0</v>
      </c>
      <c r="AB35" s="12">
        <f>IF('Men''s Epée'!$T$3=TRUE,K35,0)</f>
        <v>280</v>
      </c>
      <c r="AC35" s="12">
        <f>IF('Men''s Epée'!$U$3=TRUE,M35,0)</f>
        <v>285</v>
      </c>
      <c r="AD35" s="26">
        <f t="shared" si="17"/>
        <v>0</v>
      </c>
      <c r="AE35" s="26">
        <f t="shared" si="17"/>
        <v>0</v>
      </c>
      <c r="AF35" s="26">
        <f t="shared" si="17"/>
        <v>0</v>
      </c>
      <c r="AG35" s="26">
        <f t="shared" si="17"/>
        <v>0</v>
      </c>
      <c r="AH35" s="12">
        <f t="shared" si="9"/>
        <v>565</v>
      </c>
    </row>
    <row r="36" spans="1:34" ht="13.5">
      <c r="A36" s="16" t="str">
        <f t="shared" si="8"/>
        <v>33</v>
      </c>
      <c r="B36" s="16">
        <f aca="true" t="shared" si="18" ref="B36:B52">TRIM(IF(D36&gt;=JuniorCutoff,"#",""))</f>
      </c>
      <c r="C36" s="17" t="s">
        <v>184</v>
      </c>
      <c r="D36" s="18">
        <v>1981</v>
      </c>
      <c r="E36" s="19">
        <f>ROUND(F36+IF('Men''s Epée'!$A$3=1,G36,0)+LARGE($S36:$Y36,1)+LARGE($S36:$Y36,2),0)</f>
        <v>563</v>
      </c>
      <c r="F36" s="20"/>
      <c r="G36" s="21"/>
      <c r="H36" s="21">
        <v>43</v>
      </c>
      <c r="I36" s="22">
        <f>IF(OR('Men''s Epée'!$A$3=1,'Men''s Epée'!$S$3=TRUE),IF(OR(H36&gt;=49,ISNUMBER(H36)=FALSE),0,VLOOKUP(H36,PointTable,I$3,TRUE)),0)</f>
        <v>225</v>
      </c>
      <c r="J36" s="21">
        <v>33.5</v>
      </c>
      <c r="K36" s="22">
        <f>IF(OR('Men''s Epée'!$A$3=1,'Men''s Epée'!$T$3=TRUE),IF(OR(J36&gt;=49,ISNUMBER(J36)=FALSE),0,VLOOKUP(J36,PointTable,K$3,TRUE)),0)</f>
        <v>272.5</v>
      </c>
      <c r="L36" s="21">
        <v>29</v>
      </c>
      <c r="M36" s="22">
        <f>IF(OR('Men''s Epée'!$A$3=1,'Men''s Epée'!$U$3=TRUE),IF(OR(L36&gt;=49,ISNUMBER(L36)=FALSE),0,VLOOKUP(L36,PointTable,M$3,TRUE)),0)</f>
        <v>290</v>
      </c>
      <c r="N36" s="23"/>
      <c r="O36" s="23"/>
      <c r="P36" s="23"/>
      <c r="Q36" s="24"/>
      <c r="S36" s="25">
        <f aca="true" t="shared" si="19" ref="S36:S52">I36</f>
        <v>225</v>
      </c>
      <c r="T36" s="25">
        <f aca="true" t="shared" si="20" ref="T36:T52">K36</f>
        <v>272.5</v>
      </c>
      <c r="U36" s="25">
        <f aca="true" t="shared" si="21" ref="U36:U52">M36</f>
        <v>290</v>
      </c>
      <c r="V36" s="25">
        <f>IF(OR('Men''s Epée'!$A$3=1,N36&gt;0),ABS(N36),0)</f>
        <v>0</v>
      </c>
      <c r="W36" s="25">
        <f>IF(OR('Men''s Epée'!$A$3=1,O36&gt;0),ABS(O36),0)</f>
        <v>0</v>
      </c>
      <c r="X36" s="25">
        <f>IF(OR('Men''s Epée'!$A$3=1,P36&gt;0),ABS(P36),0)</f>
        <v>0</v>
      </c>
      <c r="Y36" s="25">
        <f>IF(OR('Men''s Epée'!$A$3=1,Q36&gt;0),ABS(Q36),0)</f>
        <v>0</v>
      </c>
      <c r="AA36" s="12">
        <f>IF('Men''s Epée'!$S$3=TRUE,I36,0)</f>
        <v>225</v>
      </c>
      <c r="AB36" s="12">
        <f>IF('Men''s Epée'!$T$3=TRUE,K36,0)</f>
        <v>272.5</v>
      </c>
      <c r="AC36" s="12">
        <f>IF('Men''s Epée'!$U$3=TRUE,M36,0)</f>
        <v>290</v>
      </c>
      <c r="AD36" s="26">
        <f aca="true" t="shared" si="22" ref="AD36:AD52">MAX(N36,0)</f>
        <v>0</v>
      </c>
      <c r="AE36" s="26">
        <f aca="true" t="shared" si="23" ref="AE36:AE52">MAX(O36,0)</f>
        <v>0</v>
      </c>
      <c r="AF36" s="26">
        <f aca="true" t="shared" si="24" ref="AF36:AF52">MAX(P36,0)</f>
        <v>0</v>
      </c>
      <c r="AG36" s="26">
        <f aca="true" t="shared" si="25" ref="AG36:AG52">MAX(Q36,0)</f>
        <v>0</v>
      </c>
      <c r="AH36" s="12">
        <f t="shared" si="9"/>
        <v>563</v>
      </c>
    </row>
    <row r="37" spans="1:34" ht="13.5">
      <c r="A37" s="16" t="str">
        <f t="shared" si="8"/>
        <v>34</v>
      </c>
      <c r="B37" s="16" t="str">
        <f t="shared" si="18"/>
        <v>#</v>
      </c>
      <c r="C37" s="17" t="s">
        <v>327</v>
      </c>
      <c r="D37" s="18">
        <v>1988</v>
      </c>
      <c r="E37" s="19">
        <f>ROUND(F37+IF('Men''s Epée'!$A$3=1,G37,0)+LARGE($S37:$Y37,1)+LARGE($S37:$Y37,2),0)</f>
        <v>550</v>
      </c>
      <c r="F37" s="20"/>
      <c r="G37" s="21"/>
      <c r="H37" s="21" t="s">
        <v>5</v>
      </c>
      <c r="I37" s="22">
        <f>IF(OR('Men''s Epée'!$A$3=1,'Men''s Epée'!$S$3=TRUE),IF(OR(H37&gt;=49,ISNUMBER(H37)=FALSE),0,VLOOKUP(H37,PointTable,I$3,TRUE)),0)</f>
        <v>0</v>
      </c>
      <c r="J37" s="21">
        <v>43</v>
      </c>
      <c r="K37" s="22">
        <f>IF(OR('Men''s Epée'!$A$3=1,'Men''s Epée'!$T$3=TRUE),IF(OR(J37&gt;=49,ISNUMBER(J37)=FALSE),0,VLOOKUP(J37,PointTable,K$3,TRUE)),0)</f>
        <v>225</v>
      </c>
      <c r="L37" s="21">
        <v>22</v>
      </c>
      <c r="M37" s="22">
        <f>IF(OR('Men''s Epée'!$A$3=1,'Men''s Epée'!$U$3=TRUE),IF(OR(L37&gt;=49,ISNUMBER(L37)=FALSE),0,VLOOKUP(L37,PointTable,M$3,TRUE)),0)</f>
        <v>325</v>
      </c>
      <c r="N37" s="23"/>
      <c r="O37" s="23"/>
      <c r="P37" s="23"/>
      <c r="Q37" s="24"/>
      <c r="S37" s="25">
        <f t="shared" si="19"/>
        <v>0</v>
      </c>
      <c r="T37" s="25">
        <f t="shared" si="20"/>
        <v>225</v>
      </c>
      <c r="U37" s="25">
        <f t="shared" si="21"/>
        <v>325</v>
      </c>
      <c r="V37" s="25">
        <f>IF(OR('Men''s Epée'!$A$3=1,N37&gt;0),ABS(N37),0)</f>
        <v>0</v>
      </c>
      <c r="W37" s="25">
        <f>IF(OR('Men''s Epée'!$A$3=1,O37&gt;0),ABS(O37),0)</f>
        <v>0</v>
      </c>
      <c r="X37" s="25">
        <f>IF(OR('Men''s Epée'!$A$3=1,P37&gt;0),ABS(P37),0)</f>
        <v>0</v>
      </c>
      <c r="Y37" s="25">
        <f>IF(OR('Men''s Epée'!$A$3=1,Q37&gt;0),ABS(Q37),0)</f>
        <v>0</v>
      </c>
      <c r="AA37" s="12">
        <f>IF('Men''s Epée'!$S$3=TRUE,I37,0)</f>
        <v>0</v>
      </c>
      <c r="AB37" s="12">
        <f>IF('Men''s Epée'!$T$3=TRUE,K37,0)</f>
        <v>225</v>
      </c>
      <c r="AC37" s="12">
        <f>IF('Men''s Epée'!$U$3=TRUE,M37,0)</f>
        <v>325</v>
      </c>
      <c r="AD37" s="26">
        <f t="shared" si="22"/>
        <v>0</v>
      </c>
      <c r="AE37" s="26">
        <f t="shared" si="23"/>
        <v>0</v>
      </c>
      <c r="AF37" s="26">
        <f t="shared" si="24"/>
        <v>0</v>
      </c>
      <c r="AG37" s="26">
        <f t="shared" si="25"/>
        <v>0</v>
      </c>
      <c r="AH37" s="12">
        <f t="shared" si="9"/>
        <v>550</v>
      </c>
    </row>
    <row r="38" spans="1:34" ht="13.5">
      <c r="A38" s="16" t="str">
        <f t="shared" si="8"/>
        <v>35</v>
      </c>
      <c r="B38" s="16">
        <f t="shared" si="18"/>
      </c>
      <c r="C38" s="17" t="s">
        <v>61</v>
      </c>
      <c r="D38" s="18">
        <v>1982</v>
      </c>
      <c r="E38" s="19">
        <f>ROUND(F38+IF('Men''s Epée'!$A$3=1,G38,0)+LARGE($S38:$Y38,1)+LARGE($S38:$Y38,2),0)</f>
        <v>538</v>
      </c>
      <c r="F38" s="20"/>
      <c r="G38" s="21"/>
      <c r="H38" s="21">
        <v>40.5</v>
      </c>
      <c r="I38" s="22">
        <f>IF(OR('Men''s Epée'!$A$3=1,'Men''s Epée'!$S$3=TRUE),IF(OR(H38&gt;=49,ISNUMBER(H38)=FALSE),0,VLOOKUP(H38,PointTable,I$3,TRUE)),0)</f>
        <v>237.5</v>
      </c>
      <c r="J38" s="21" t="s">
        <v>5</v>
      </c>
      <c r="K38" s="22">
        <f>IF(OR('Men''s Epée'!$A$3=1,'Men''s Epée'!$T$3=TRUE),IF(OR(J38&gt;=49,ISNUMBER(J38)=FALSE),0,VLOOKUP(J38,PointTable,K$3,TRUE)),0)</f>
        <v>0</v>
      </c>
      <c r="L38" s="21">
        <v>27</v>
      </c>
      <c r="M38" s="22">
        <f>IF(OR('Men''s Epée'!$A$3=1,'Men''s Epée'!$U$3=TRUE),IF(OR(L38&gt;=49,ISNUMBER(L38)=FALSE),0,VLOOKUP(L38,PointTable,M$3,TRUE)),0)</f>
        <v>300</v>
      </c>
      <c r="N38" s="23"/>
      <c r="O38" s="23"/>
      <c r="P38" s="23"/>
      <c r="Q38" s="24"/>
      <c r="S38" s="25">
        <f t="shared" si="19"/>
        <v>237.5</v>
      </c>
      <c r="T38" s="25">
        <f t="shared" si="20"/>
        <v>0</v>
      </c>
      <c r="U38" s="25">
        <f t="shared" si="21"/>
        <v>300</v>
      </c>
      <c r="V38" s="25">
        <f>IF(OR('Men''s Epée'!$A$3=1,N38&gt;0),ABS(N38),0)</f>
        <v>0</v>
      </c>
      <c r="W38" s="25">
        <f>IF(OR('Men''s Epée'!$A$3=1,O38&gt;0),ABS(O38),0)</f>
        <v>0</v>
      </c>
      <c r="X38" s="25">
        <f>IF(OR('Men''s Epée'!$A$3=1,P38&gt;0),ABS(P38),0)</f>
        <v>0</v>
      </c>
      <c r="Y38" s="25">
        <f>IF(OR('Men''s Epée'!$A$3=1,Q38&gt;0),ABS(Q38),0)</f>
        <v>0</v>
      </c>
      <c r="AA38" s="12">
        <f>IF('Men''s Epée'!$S$3=TRUE,I38,0)</f>
        <v>237.5</v>
      </c>
      <c r="AB38" s="12">
        <f>IF('Men''s Epée'!$T$3=TRUE,K38,0)</f>
        <v>0</v>
      </c>
      <c r="AC38" s="12">
        <f>IF('Men''s Epée'!$U$3=TRUE,M38,0)</f>
        <v>300</v>
      </c>
      <c r="AD38" s="26">
        <f t="shared" si="22"/>
        <v>0</v>
      </c>
      <c r="AE38" s="26">
        <f t="shared" si="23"/>
        <v>0</v>
      </c>
      <c r="AF38" s="26">
        <f t="shared" si="24"/>
        <v>0</v>
      </c>
      <c r="AG38" s="26">
        <f t="shared" si="25"/>
        <v>0</v>
      </c>
      <c r="AH38" s="12">
        <f t="shared" si="9"/>
        <v>538</v>
      </c>
    </row>
    <row r="39" spans="1:34" ht="13.5">
      <c r="A39" s="16" t="str">
        <f t="shared" si="8"/>
        <v>36</v>
      </c>
      <c r="B39" s="16" t="str">
        <f t="shared" si="18"/>
        <v>#</v>
      </c>
      <c r="C39" s="17" t="s">
        <v>273</v>
      </c>
      <c r="D39" s="18">
        <v>1984</v>
      </c>
      <c r="E39" s="19">
        <f>ROUND(F39+IF('Men''s Epée'!$A$3=1,G39,0)+LARGE($S39:$Y39,1)+LARGE($S39:$Y39,2),0)</f>
        <v>535</v>
      </c>
      <c r="F39" s="20"/>
      <c r="G39" s="21"/>
      <c r="H39" s="21">
        <v>32</v>
      </c>
      <c r="I39" s="22">
        <f>IF(OR('Men''s Epée'!$A$3=1,'Men''s Epée'!$S$3=TRUE),IF(OR(H39&gt;=49,ISNUMBER(H39)=FALSE),0,VLOOKUP(H39,PointTable,I$3,TRUE)),0)</f>
        <v>280</v>
      </c>
      <c r="J39" s="21">
        <v>37</v>
      </c>
      <c r="K39" s="22">
        <f>IF(OR('Men''s Epée'!$A$3=1,'Men''s Epée'!$T$3=TRUE),IF(OR(J39&gt;=49,ISNUMBER(J39)=FALSE),0,VLOOKUP(J39,PointTable,K$3,TRUE)),0)</f>
        <v>255</v>
      </c>
      <c r="L39" s="21" t="s">
        <v>5</v>
      </c>
      <c r="M39" s="22">
        <f>IF(OR('Men''s Epée'!$A$3=1,'Men''s Epée'!$U$3=TRUE),IF(OR(L39&gt;=49,ISNUMBER(L39)=FALSE),0,VLOOKUP(L39,PointTable,M$3,TRUE)),0)</f>
        <v>0</v>
      </c>
      <c r="N39" s="23"/>
      <c r="O39" s="23"/>
      <c r="P39" s="23"/>
      <c r="Q39" s="24"/>
      <c r="S39" s="25">
        <f t="shared" si="19"/>
        <v>280</v>
      </c>
      <c r="T39" s="25">
        <f t="shared" si="20"/>
        <v>255</v>
      </c>
      <c r="U39" s="25">
        <f t="shared" si="21"/>
        <v>0</v>
      </c>
      <c r="V39" s="25">
        <f>IF(OR('Men''s Epée'!$A$3=1,N39&gt;0),ABS(N39),0)</f>
        <v>0</v>
      </c>
      <c r="W39" s="25">
        <f>IF(OR('Men''s Epée'!$A$3=1,O39&gt;0),ABS(O39),0)</f>
        <v>0</v>
      </c>
      <c r="X39" s="25">
        <f>IF(OR('Men''s Epée'!$A$3=1,P39&gt;0),ABS(P39),0)</f>
        <v>0</v>
      </c>
      <c r="Y39" s="25">
        <f>IF(OR('Men''s Epée'!$A$3=1,Q39&gt;0),ABS(Q39),0)</f>
        <v>0</v>
      </c>
      <c r="AA39" s="12">
        <f>IF('Men''s Epée'!$S$3=TRUE,I39,0)</f>
        <v>280</v>
      </c>
      <c r="AB39" s="12">
        <f>IF('Men''s Epée'!$T$3=TRUE,K39,0)</f>
        <v>255</v>
      </c>
      <c r="AC39" s="12">
        <f>IF('Men''s Epée'!$U$3=TRUE,M39,0)</f>
        <v>0</v>
      </c>
      <c r="AD39" s="26">
        <f t="shared" si="22"/>
        <v>0</v>
      </c>
      <c r="AE39" s="26">
        <f t="shared" si="23"/>
        <v>0</v>
      </c>
      <c r="AF39" s="26">
        <f t="shared" si="24"/>
        <v>0</v>
      </c>
      <c r="AG39" s="26">
        <f t="shared" si="25"/>
        <v>0</v>
      </c>
      <c r="AH39" s="12">
        <f t="shared" si="9"/>
        <v>535</v>
      </c>
    </row>
    <row r="40" spans="1:34" ht="13.5">
      <c r="A40" s="16" t="str">
        <f t="shared" si="8"/>
        <v>37</v>
      </c>
      <c r="B40" s="16">
        <f t="shared" si="18"/>
      </c>
      <c r="C40" s="17" t="s">
        <v>225</v>
      </c>
      <c r="D40" s="18">
        <v>1978</v>
      </c>
      <c r="E40" s="19">
        <f>ROUND(F40+IF('Men''s Epée'!$A$3=1,G40,0)+LARGE($S40:$Y40,1)+LARGE($S40:$Y40,2),0)</f>
        <v>520</v>
      </c>
      <c r="F40" s="20"/>
      <c r="G40" s="21"/>
      <c r="H40" s="21" t="s">
        <v>5</v>
      </c>
      <c r="I40" s="22">
        <f>IF(OR('Men''s Epée'!$A$3=1,'Men''s Epée'!$S$3=TRUE),IF(OR(H40&gt;=49,ISNUMBER(H40)=FALSE),0,VLOOKUP(H40,PointTable,I$3,TRUE)),0)</f>
        <v>0</v>
      </c>
      <c r="J40" s="21" t="s">
        <v>5</v>
      </c>
      <c r="K40" s="22">
        <f>IF(OR('Men''s Epée'!$A$3=1,'Men''s Epée'!$T$3=TRUE),IF(OR(J40&gt;=49,ISNUMBER(J40)=FALSE),0,VLOOKUP(J40,PointTable,K$3,TRUE)),0)</f>
        <v>0</v>
      </c>
      <c r="L40" s="21">
        <v>12</v>
      </c>
      <c r="M40" s="22">
        <f>IF(OR('Men''s Epée'!$A$3=1,'Men''s Epée'!$U$3=TRUE),IF(OR(L40&gt;=49,ISNUMBER(L40)=FALSE),0,VLOOKUP(L40,PointTable,M$3,TRUE)),0)</f>
        <v>520</v>
      </c>
      <c r="N40" s="23"/>
      <c r="O40" s="23"/>
      <c r="P40" s="23"/>
      <c r="Q40" s="24"/>
      <c r="S40" s="25">
        <f t="shared" si="19"/>
        <v>0</v>
      </c>
      <c r="T40" s="25">
        <f t="shared" si="20"/>
        <v>0</v>
      </c>
      <c r="U40" s="25">
        <f t="shared" si="21"/>
        <v>520</v>
      </c>
      <c r="V40" s="25">
        <f>IF(OR('Men''s Epée'!$A$3=1,N40&gt;0),ABS(N40),0)</f>
        <v>0</v>
      </c>
      <c r="W40" s="25">
        <f>IF(OR('Men''s Epée'!$A$3=1,O40&gt;0),ABS(O40),0)</f>
        <v>0</v>
      </c>
      <c r="X40" s="25">
        <f>IF(OR('Men''s Epée'!$A$3=1,P40&gt;0),ABS(P40),0)</f>
        <v>0</v>
      </c>
      <c r="Y40" s="25">
        <f>IF(OR('Men''s Epée'!$A$3=1,Q40&gt;0),ABS(Q40),0)</f>
        <v>0</v>
      </c>
      <c r="AA40" s="12">
        <f>IF('Men''s Epée'!$S$3=TRUE,I40,0)</f>
        <v>0</v>
      </c>
      <c r="AB40" s="12">
        <f>IF('Men''s Epée'!$T$3=TRUE,K40,0)</f>
        <v>0</v>
      </c>
      <c r="AC40" s="12">
        <f>IF('Men''s Epée'!$U$3=TRUE,M40,0)</f>
        <v>520</v>
      </c>
      <c r="AD40" s="26">
        <f t="shared" si="22"/>
        <v>0</v>
      </c>
      <c r="AE40" s="26">
        <f t="shared" si="23"/>
        <v>0</v>
      </c>
      <c r="AF40" s="26">
        <f t="shared" si="24"/>
        <v>0</v>
      </c>
      <c r="AG40" s="26">
        <f t="shared" si="25"/>
        <v>0</v>
      </c>
      <c r="AH40" s="12">
        <f t="shared" si="9"/>
        <v>520</v>
      </c>
    </row>
    <row r="41" spans="1:34" ht="13.5">
      <c r="A41" s="16" t="str">
        <f t="shared" si="8"/>
        <v>38</v>
      </c>
      <c r="B41" s="16">
        <f t="shared" si="18"/>
      </c>
      <c r="C41" s="17" t="s">
        <v>65</v>
      </c>
      <c r="D41" s="18">
        <v>1975</v>
      </c>
      <c r="E41" s="19">
        <f>ROUND(F41+IF('Men''s Epée'!$A$3=1,G41,0)+LARGE($S41:$Y41,1)+LARGE($S41:$Y41,2),0)</f>
        <v>515</v>
      </c>
      <c r="F41" s="20"/>
      <c r="G41" s="21"/>
      <c r="H41" s="21" t="s">
        <v>5</v>
      </c>
      <c r="I41" s="22">
        <f>IF(OR('Men''s Epée'!$A$3=1,'Men''s Epée'!$S$3=TRUE),IF(OR(H41&gt;=49,ISNUMBER(H41)=FALSE),0,VLOOKUP(H41,PointTable,I$3,TRUE)),0)</f>
        <v>0</v>
      </c>
      <c r="J41" s="21" t="s">
        <v>5</v>
      </c>
      <c r="K41" s="22">
        <f>IF(OR('Men''s Epée'!$A$3=1,'Men''s Epée'!$T$3=TRUE),IF(OR(J41&gt;=49,ISNUMBER(J41)=FALSE),0,VLOOKUP(J41,PointTable,K$3,TRUE)),0)</f>
        <v>0</v>
      </c>
      <c r="L41" s="21">
        <v>13</v>
      </c>
      <c r="M41" s="22">
        <f>IF(OR('Men''s Epée'!$A$3=1,'Men''s Epée'!$U$3=TRUE),IF(OR(L41&gt;=49,ISNUMBER(L41)=FALSE),0,VLOOKUP(L41,PointTable,M$3,TRUE)),0)</f>
        <v>515</v>
      </c>
      <c r="N41" s="23"/>
      <c r="O41" s="23"/>
      <c r="P41" s="23"/>
      <c r="Q41" s="24"/>
      <c r="S41" s="25">
        <f t="shared" si="19"/>
        <v>0</v>
      </c>
      <c r="T41" s="25">
        <f t="shared" si="20"/>
        <v>0</v>
      </c>
      <c r="U41" s="25">
        <f t="shared" si="21"/>
        <v>515</v>
      </c>
      <c r="V41" s="25">
        <f>IF(OR('Men''s Epée'!$A$3=1,N41&gt;0),ABS(N41),0)</f>
        <v>0</v>
      </c>
      <c r="W41" s="25">
        <f>IF(OR('Men''s Epée'!$A$3=1,O41&gt;0),ABS(O41),0)</f>
        <v>0</v>
      </c>
      <c r="X41" s="25">
        <f>IF(OR('Men''s Epée'!$A$3=1,P41&gt;0),ABS(P41),0)</f>
        <v>0</v>
      </c>
      <c r="Y41" s="25">
        <f>IF(OR('Men''s Epée'!$A$3=1,Q41&gt;0),ABS(Q41),0)</f>
        <v>0</v>
      </c>
      <c r="AA41" s="12">
        <f>IF('Men''s Epée'!$S$3=TRUE,I41,0)</f>
        <v>0</v>
      </c>
      <c r="AB41" s="12">
        <f>IF('Men''s Epée'!$T$3=TRUE,K41,0)</f>
        <v>0</v>
      </c>
      <c r="AC41" s="12">
        <f>IF('Men''s Epée'!$U$3=TRUE,M41,0)</f>
        <v>515</v>
      </c>
      <c r="AD41" s="26">
        <f t="shared" si="22"/>
        <v>0</v>
      </c>
      <c r="AE41" s="26">
        <f t="shared" si="23"/>
        <v>0</v>
      </c>
      <c r="AF41" s="26">
        <f t="shared" si="24"/>
        <v>0</v>
      </c>
      <c r="AG41" s="26">
        <f t="shared" si="25"/>
        <v>0</v>
      </c>
      <c r="AH41" s="12">
        <f t="shared" si="9"/>
        <v>515</v>
      </c>
    </row>
    <row r="42" spans="1:34" ht="13.5">
      <c r="A42" s="16" t="str">
        <f t="shared" si="8"/>
        <v>39T</v>
      </c>
      <c r="B42" s="16">
        <f t="shared" si="18"/>
      </c>
      <c r="C42" s="17" t="s">
        <v>302</v>
      </c>
      <c r="D42" s="18">
        <v>1974</v>
      </c>
      <c r="E42" s="19">
        <f>ROUND(F42+IF('Men''s Epée'!$A$3=1,G42,0)+LARGE($S42:$Y42,1)+LARGE($S42:$Y42,2),0)</f>
        <v>510</v>
      </c>
      <c r="F42" s="20"/>
      <c r="G42" s="21"/>
      <c r="H42" s="21">
        <v>14</v>
      </c>
      <c r="I42" s="22">
        <f>IF(OR('Men''s Epée'!$A$3=1,'Men''s Epée'!$S$3=TRUE),IF(OR(H42&gt;=49,ISNUMBER(H42)=FALSE),0,VLOOKUP(H42,PointTable,I$3,TRUE)),0)</f>
        <v>510</v>
      </c>
      <c r="J42" s="21" t="s">
        <v>5</v>
      </c>
      <c r="K42" s="22">
        <f>IF(OR('Men''s Epée'!$A$3=1,'Men''s Epée'!$T$3=TRUE),IF(OR(J42&gt;=49,ISNUMBER(J42)=FALSE),0,VLOOKUP(J42,PointTable,K$3,TRUE)),0)</f>
        <v>0</v>
      </c>
      <c r="L42" s="21" t="s">
        <v>5</v>
      </c>
      <c r="M42" s="22">
        <f>IF(OR('Men''s Epée'!$A$3=1,'Men''s Epée'!$U$3=TRUE),IF(OR(L42&gt;=49,ISNUMBER(L42)=FALSE),0,VLOOKUP(L42,PointTable,M$3,TRUE)),0)</f>
        <v>0</v>
      </c>
      <c r="N42" s="23"/>
      <c r="O42" s="23"/>
      <c r="P42" s="23"/>
      <c r="Q42" s="24"/>
      <c r="S42" s="25">
        <f t="shared" si="19"/>
        <v>510</v>
      </c>
      <c r="T42" s="25">
        <f t="shared" si="20"/>
        <v>0</v>
      </c>
      <c r="U42" s="25">
        <f t="shared" si="21"/>
        <v>0</v>
      </c>
      <c r="V42" s="25">
        <f>IF(OR('Men''s Epée'!$A$3=1,N42&gt;0),ABS(N42),0)</f>
        <v>0</v>
      </c>
      <c r="W42" s="25">
        <f>IF(OR('Men''s Epée'!$A$3=1,O42&gt;0),ABS(O42),0)</f>
        <v>0</v>
      </c>
      <c r="X42" s="25">
        <f>IF(OR('Men''s Epée'!$A$3=1,P42&gt;0),ABS(P42),0)</f>
        <v>0</v>
      </c>
      <c r="Y42" s="25">
        <f>IF(OR('Men''s Epée'!$A$3=1,Q42&gt;0),ABS(Q42),0)</f>
        <v>0</v>
      </c>
      <c r="AA42" s="12">
        <f>IF('Men''s Epée'!$S$3=TRUE,I42,0)</f>
        <v>510</v>
      </c>
      <c r="AB42" s="12">
        <f>IF('Men''s Epée'!$T$3=TRUE,K42,0)</f>
        <v>0</v>
      </c>
      <c r="AC42" s="12">
        <f>IF('Men''s Epée'!$U$3=TRUE,M42,0)</f>
        <v>0</v>
      </c>
      <c r="AD42" s="26">
        <f t="shared" si="22"/>
        <v>0</v>
      </c>
      <c r="AE42" s="26">
        <f t="shared" si="23"/>
        <v>0</v>
      </c>
      <c r="AF42" s="26">
        <f t="shared" si="24"/>
        <v>0</v>
      </c>
      <c r="AG42" s="26">
        <f t="shared" si="25"/>
        <v>0</v>
      </c>
      <c r="AH42" s="12">
        <f t="shared" si="9"/>
        <v>510</v>
      </c>
    </row>
    <row r="43" spans="1:34" ht="13.5">
      <c r="A43" s="16" t="str">
        <f t="shared" si="8"/>
        <v>39T</v>
      </c>
      <c r="B43" s="16">
        <f t="shared" si="18"/>
      </c>
      <c r="C43" s="17" t="s">
        <v>48</v>
      </c>
      <c r="D43" s="18">
        <v>1981</v>
      </c>
      <c r="E43" s="19">
        <f>ROUND(F43+IF('Men''s Epée'!$A$3=1,G43,0)+LARGE($S43:$Y43,1)+LARGE($S43:$Y43,2),0)</f>
        <v>510</v>
      </c>
      <c r="F43" s="20"/>
      <c r="G43" s="21"/>
      <c r="H43" s="21" t="s">
        <v>5</v>
      </c>
      <c r="I43" s="22">
        <f>IF(OR('Men''s Epée'!$A$3=1,'Men''s Epée'!$S$3=TRUE),IF(OR(H43&gt;=49,ISNUMBER(H43)=FALSE),0,VLOOKUP(H43,PointTable,I$3,TRUE)),0)</f>
        <v>0</v>
      </c>
      <c r="J43" s="21">
        <v>14</v>
      </c>
      <c r="K43" s="22">
        <f>IF(OR('Men''s Epée'!$A$3=1,'Men''s Epée'!$T$3=TRUE),IF(OR(J43&gt;=49,ISNUMBER(J43)=FALSE),0,VLOOKUP(J43,PointTable,K$3,TRUE)),0)</f>
        <v>510</v>
      </c>
      <c r="L43" s="21" t="s">
        <v>5</v>
      </c>
      <c r="M43" s="22">
        <f>IF(OR('Men''s Epée'!$A$3=1,'Men''s Epée'!$U$3=TRUE),IF(OR(L43&gt;=49,ISNUMBER(L43)=FALSE),0,VLOOKUP(L43,PointTable,M$3,TRUE)),0)</f>
        <v>0</v>
      </c>
      <c r="N43" s="23"/>
      <c r="O43" s="23"/>
      <c r="P43" s="23"/>
      <c r="Q43" s="24"/>
      <c r="S43" s="25">
        <f t="shared" si="19"/>
        <v>0</v>
      </c>
      <c r="T43" s="25">
        <f t="shared" si="20"/>
        <v>510</v>
      </c>
      <c r="U43" s="25">
        <f t="shared" si="21"/>
        <v>0</v>
      </c>
      <c r="V43" s="25">
        <f>IF(OR('Men''s Epée'!$A$3=1,N43&gt;0),ABS(N43),0)</f>
        <v>0</v>
      </c>
      <c r="W43" s="25">
        <f>IF(OR('Men''s Epée'!$A$3=1,O43&gt;0),ABS(O43),0)</f>
        <v>0</v>
      </c>
      <c r="X43" s="25">
        <f>IF(OR('Men''s Epée'!$A$3=1,P43&gt;0),ABS(P43),0)</f>
        <v>0</v>
      </c>
      <c r="Y43" s="25">
        <f>IF(OR('Men''s Epée'!$A$3=1,Q43&gt;0),ABS(Q43),0)</f>
        <v>0</v>
      </c>
      <c r="AA43" s="12">
        <f>IF('Men''s Epée'!$S$3=TRUE,I43,0)</f>
        <v>0</v>
      </c>
      <c r="AB43" s="12">
        <f>IF('Men''s Epée'!$T$3=TRUE,K43,0)</f>
        <v>510</v>
      </c>
      <c r="AC43" s="12">
        <f>IF('Men''s Epée'!$U$3=TRUE,M43,0)</f>
        <v>0</v>
      </c>
      <c r="AD43" s="26">
        <f t="shared" si="22"/>
        <v>0</v>
      </c>
      <c r="AE43" s="26">
        <f t="shared" si="23"/>
        <v>0</v>
      </c>
      <c r="AF43" s="26">
        <f t="shared" si="24"/>
        <v>0</v>
      </c>
      <c r="AG43" s="26">
        <f t="shared" si="25"/>
        <v>0</v>
      </c>
      <c r="AH43" s="12">
        <f t="shared" si="9"/>
        <v>510</v>
      </c>
    </row>
    <row r="44" spans="1:34" ht="13.5">
      <c r="A44" s="16" t="str">
        <f t="shared" si="8"/>
        <v>41T</v>
      </c>
      <c r="B44" s="16">
        <f t="shared" si="18"/>
      </c>
      <c r="C44" s="17" t="s">
        <v>276</v>
      </c>
      <c r="D44" s="18">
        <v>1981</v>
      </c>
      <c r="E44" s="19">
        <f>ROUND(F44+IF('Men''s Epée'!$A$3=1,G44,0)+LARGE($S44:$Y44,1)+LARGE($S44:$Y44,2),0)</f>
        <v>500</v>
      </c>
      <c r="F44" s="20"/>
      <c r="G44" s="21"/>
      <c r="H44" s="21">
        <v>44</v>
      </c>
      <c r="I44" s="22">
        <f>IF(OR('Men''s Epée'!$A$3=1,'Men''s Epée'!$S$3=TRUE),IF(OR(H44&gt;=49,ISNUMBER(H44)=FALSE),0,VLOOKUP(H44,PointTable,I$3,TRUE)),0)</f>
        <v>220</v>
      </c>
      <c r="J44" s="21" t="s">
        <v>5</v>
      </c>
      <c r="K44" s="22">
        <f>IF(OR('Men''s Epée'!$A$3=1,'Men''s Epée'!$T$3=TRUE),IF(OR(J44&gt;=49,ISNUMBER(J44)=FALSE),0,VLOOKUP(J44,PointTable,K$3,TRUE)),0)</f>
        <v>0</v>
      </c>
      <c r="L44" s="21">
        <v>31</v>
      </c>
      <c r="M44" s="22">
        <f>IF(OR('Men''s Epée'!$A$3=1,'Men''s Epée'!$U$3=TRUE),IF(OR(L44&gt;=49,ISNUMBER(L44)=FALSE),0,VLOOKUP(L44,PointTable,M$3,TRUE)),0)</f>
        <v>280</v>
      </c>
      <c r="N44" s="23"/>
      <c r="O44" s="23"/>
      <c r="P44" s="23"/>
      <c r="Q44" s="24"/>
      <c r="S44" s="25">
        <f t="shared" si="19"/>
        <v>220</v>
      </c>
      <c r="T44" s="25">
        <f t="shared" si="20"/>
        <v>0</v>
      </c>
      <c r="U44" s="25">
        <f t="shared" si="21"/>
        <v>280</v>
      </c>
      <c r="V44" s="25">
        <f>IF(OR('Men''s Epée'!$A$3=1,N44&gt;0),ABS(N44),0)</f>
        <v>0</v>
      </c>
      <c r="W44" s="25">
        <f>IF(OR('Men''s Epée'!$A$3=1,O44&gt;0),ABS(O44),0)</f>
        <v>0</v>
      </c>
      <c r="X44" s="25">
        <f>IF(OR('Men''s Epée'!$A$3=1,P44&gt;0),ABS(P44),0)</f>
        <v>0</v>
      </c>
      <c r="Y44" s="25">
        <f>IF(OR('Men''s Epée'!$A$3=1,Q44&gt;0),ABS(Q44),0)</f>
        <v>0</v>
      </c>
      <c r="AA44" s="12">
        <f>IF('Men''s Epée'!$S$3=TRUE,I44,0)</f>
        <v>220</v>
      </c>
      <c r="AB44" s="12">
        <f>IF('Men''s Epée'!$T$3=TRUE,K44,0)</f>
        <v>0</v>
      </c>
      <c r="AC44" s="12">
        <f>IF('Men''s Epée'!$U$3=TRUE,M44,0)</f>
        <v>280</v>
      </c>
      <c r="AD44" s="26">
        <f t="shared" si="22"/>
        <v>0</v>
      </c>
      <c r="AE44" s="26">
        <f t="shared" si="23"/>
        <v>0</v>
      </c>
      <c r="AF44" s="26">
        <f t="shared" si="24"/>
        <v>0</v>
      </c>
      <c r="AG44" s="26">
        <f t="shared" si="25"/>
        <v>0</v>
      </c>
      <c r="AH44" s="12">
        <f t="shared" si="9"/>
        <v>500</v>
      </c>
    </row>
    <row r="45" spans="1:34" ht="13.5">
      <c r="A45" s="16" t="str">
        <f t="shared" si="8"/>
        <v>41T</v>
      </c>
      <c r="B45" s="16" t="str">
        <f t="shared" si="18"/>
        <v>#</v>
      </c>
      <c r="C45" s="17" t="s">
        <v>277</v>
      </c>
      <c r="D45" s="18">
        <v>1986</v>
      </c>
      <c r="E45" s="19">
        <f>ROUND(F45+IF('Men''s Epée'!$A$3=1,G45,0)+LARGE($S45:$Y45,1)+LARGE($S45:$Y45,2),0)</f>
        <v>500</v>
      </c>
      <c r="F45" s="20"/>
      <c r="G45" s="21"/>
      <c r="H45" s="21">
        <v>46</v>
      </c>
      <c r="I45" s="22">
        <f>IF(OR('Men''s Epée'!$A$3=1,'Men''s Epée'!$S$3=TRUE),IF(OR(H45&gt;=49,ISNUMBER(H45)=FALSE),0,VLOOKUP(H45,PointTable,I$3,TRUE)),0)</f>
        <v>210</v>
      </c>
      <c r="J45" s="21">
        <v>30</v>
      </c>
      <c r="K45" s="22">
        <f>IF(OR('Men''s Epée'!$A$3=1,'Men''s Epée'!$T$3=TRUE),IF(OR(J45&gt;=49,ISNUMBER(J45)=FALSE),0,VLOOKUP(J45,PointTable,K$3,TRUE)),0)</f>
        <v>290</v>
      </c>
      <c r="L45" s="21" t="s">
        <v>5</v>
      </c>
      <c r="M45" s="22">
        <f>IF(OR('Men''s Epée'!$A$3=1,'Men''s Epée'!$U$3=TRUE),IF(OR(L45&gt;=49,ISNUMBER(L45)=FALSE),0,VLOOKUP(L45,PointTable,M$3,TRUE)),0)</f>
        <v>0</v>
      </c>
      <c r="N45" s="23"/>
      <c r="O45" s="23"/>
      <c r="P45" s="23"/>
      <c r="Q45" s="24"/>
      <c r="S45" s="25">
        <f t="shared" si="19"/>
        <v>210</v>
      </c>
      <c r="T45" s="25">
        <f t="shared" si="20"/>
        <v>290</v>
      </c>
      <c r="U45" s="25">
        <f t="shared" si="21"/>
        <v>0</v>
      </c>
      <c r="V45" s="25">
        <f>IF(OR('Men''s Epée'!$A$3=1,N45&gt;0),ABS(N45),0)</f>
        <v>0</v>
      </c>
      <c r="W45" s="25">
        <f>IF(OR('Men''s Epée'!$A$3=1,O45&gt;0),ABS(O45),0)</f>
        <v>0</v>
      </c>
      <c r="X45" s="25">
        <f>IF(OR('Men''s Epée'!$A$3=1,P45&gt;0),ABS(P45),0)</f>
        <v>0</v>
      </c>
      <c r="Y45" s="25">
        <f>IF(OR('Men''s Epée'!$A$3=1,Q45&gt;0),ABS(Q45),0)</f>
        <v>0</v>
      </c>
      <c r="AA45" s="12">
        <f>IF('Men''s Epée'!$S$3=TRUE,I45,0)</f>
        <v>210</v>
      </c>
      <c r="AB45" s="12">
        <f>IF('Men''s Epée'!$T$3=TRUE,K45,0)</f>
        <v>290</v>
      </c>
      <c r="AC45" s="12">
        <f>IF('Men''s Epée'!$U$3=TRUE,M45,0)</f>
        <v>0</v>
      </c>
      <c r="AD45" s="26">
        <f t="shared" si="22"/>
        <v>0</v>
      </c>
      <c r="AE45" s="26">
        <f t="shared" si="23"/>
        <v>0</v>
      </c>
      <c r="AF45" s="26">
        <f t="shared" si="24"/>
        <v>0</v>
      </c>
      <c r="AG45" s="26">
        <f t="shared" si="25"/>
        <v>0</v>
      </c>
      <c r="AH45" s="12">
        <f t="shared" si="9"/>
        <v>500</v>
      </c>
    </row>
    <row r="46" spans="1:34" ht="13.5">
      <c r="A46" s="16" t="str">
        <f t="shared" si="8"/>
        <v>43</v>
      </c>
      <c r="B46" s="16">
        <f t="shared" si="18"/>
      </c>
      <c r="C46" s="17" t="s">
        <v>185</v>
      </c>
      <c r="D46" s="18">
        <v>1973</v>
      </c>
      <c r="E46" s="19">
        <f>ROUND(F46+IF('Men''s Epée'!$A$3=1,G46,0)+LARGE($S46:$Y46,1)+LARGE($S46:$Y46,2),0)</f>
        <v>493</v>
      </c>
      <c r="F46" s="20"/>
      <c r="G46" s="21"/>
      <c r="H46" s="21">
        <v>45</v>
      </c>
      <c r="I46" s="22">
        <f>IF(OR('Men''s Epée'!$A$3=1,'Men''s Epée'!$S$3=TRUE),IF(OR(H46&gt;=49,ISNUMBER(H46)=FALSE),0,VLOOKUP(H46,PointTable,I$3,TRUE)),0)</f>
        <v>215</v>
      </c>
      <c r="J46" s="21" t="s">
        <v>5</v>
      </c>
      <c r="K46" s="22">
        <f>IF(OR('Men''s Epée'!$A$3=1,'Men''s Epée'!$T$3=TRUE),IF(OR(J46&gt;=49,ISNUMBER(J46)=FALSE),0,VLOOKUP(J46,PointTable,K$3,TRUE)),0)</f>
        <v>0</v>
      </c>
      <c r="L46" s="21" t="s">
        <v>5</v>
      </c>
      <c r="M46" s="22">
        <f>IF(OR('Men''s Epée'!$A$3=1,'Men''s Epée'!$U$3=TRUE),IF(OR(L46&gt;=49,ISNUMBER(L46)=FALSE),0,VLOOKUP(L46,PointTable,M$3,TRUE)),0)</f>
        <v>0</v>
      </c>
      <c r="N46" s="23">
        <v>-278.222</v>
      </c>
      <c r="O46" s="23"/>
      <c r="P46" s="23"/>
      <c r="Q46" s="24"/>
      <c r="S46" s="25">
        <f t="shared" si="19"/>
        <v>215</v>
      </c>
      <c r="T46" s="25">
        <f t="shared" si="20"/>
        <v>0</v>
      </c>
      <c r="U46" s="25">
        <f t="shared" si="21"/>
        <v>0</v>
      </c>
      <c r="V46" s="25">
        <f>IF(OR('Men''s Epée'!$A$3=1,N46&gt;0),ABS(N46),0)</f>
        <v>278.222</v>
      </c>
      <c r="W46" s="25">
        <f>IF(OR('Men''s Epée'!$A$3=1,O46&gt;0),ABS(O46),0)</f>
        <v>0</v>
      </c>
      <c r="X46" s="25">
        <f>IF(OR('Men''s Epée'!$A$3=1,P46&gt;0),ABS(P46),0)</f>
        <v>0</v>
      </c>
      <c r="Y46" s="25">
        <f>IF(OR('Men''s Epée'!$A$3=1,Q46&gt;0),ABS(Q46),0)</f>
        <v>0</v>
      </c>
      <c r="AA46" s="12">
        <f>IF('Men''s Epée'!$S$3=TRUE,I46,0)</f>
        <v>215</v>
      </c>
      <c r="AB46" s="12">
        <f>IF('Men''s Epée'!$T$3=TRUE,K46,0)</f>
        <v>0</v>
      </c>
      <c r="AC46" s="12">
        <f>IF('Men''s Epée'!$U$3=TRUE,M46,0)</f>
        <v>0</v>
      </c>
      <c r="AD46" s="26">
        <f t="shared" si="22"/>
        <v>0</v>
      </c>
      <c r="AE46" s="26">
        <f t="shared" si="23"/>
        <v>0</v>
      </c>
      <c r="AF46" s="26">
        <f t="shared" si="24"/>
        <v>0</v>
      </c>
      <c r="AG46" s="26">
        <f t="shared" si="25"/>
        <v>0</v>
      </c>
      <c r="AH46" s="12">
        <f t="shared" si="9"/>
        <v>215</v>
      </c>
    </row>
    <row r="47" spans="1:34" ht="13.5">
      <c r="A47" s="16" t="str">
        <f t="shared" si="8"/>
        <v>44</v>
      </c>
      <c r="B47" s="16" t="str">
        <f t="shared" si="18"/>
        <v>#</v>
      </c>
      <c r="C47" s="17" t="s">
        <v>200</v>
      </c>
      <c r="D47" s="18">
        <v>1985</v>
      </c>
      <c r="E47" s="19">
        <f>ROUND(F47+IF('Men''s Epée'!$A$3=1,G47,0)+LARGE($S47:$Y47,1)+LARGE($S47:$Y47,2),0)</f>
        <v>410</v>
      </c>
      <c r="F47" s="20"/>
      <c r="G47" s="21"/>
      <c r="H47" s="21">
        <v>18</v>
      </c>
      <c r="I47" s="22">
        <f>IF(OR('Men''s Epée'!$A$3=1,'Men''s Epée'!$S$3=TRUE),IF(OR(H47&gt;=49,ISNUMBER(H47)=FALSE),0,VLOOKUP(H47,PointTable,I$3,TRUE)),0)</f>
        <v>410</v>
      </c>
      <c r="J47" s="21" t="s">
        <v>5</v>
      </c>
      <c r="K47" s="22">
        <f>IF(OR('Men''s Epée'!$A$3=1,'Men''s Epée'!$T$3=TRUE),IF(OR(J47&gt;=49,ISNUMBER(J47)=FALSE),0,VLOOKUP(J47,PointTable,K$3,TRUE)),0)</f>
        <v>0</v>
      </c>
      <c r="L47" s="21" t="s">
        <v>5</v>
      </c>
      <c r="M47" s="22">
        <f>IF(OR('Men''s Epée'!$A$3=1,'Men''s Epée'!$U$3=TRUE),IF(OR(L47&gt;=49,ISNUMBER(L47)=FALSE),0,VLOOKUP(L47,PointTable,M$3,TRUE)),0)</f>
        <v>0</v>
      </c>
      <c r="N47" s="23"/>
      <c r="O47" s="23"/>
      <c r="P47" s="23"/>
      <c r="Q47" s="24"/>
      <c r="S47" s="25">
        <f t="shared" si="19"/>
        <v>410</v>
      </c>
      <c r="T47" s="25">
        <f t="shared" si="20"/>
        <v>0</v>
      </c>
      <c r="U47" s="25">
        <f t="shared" si="21"/>
        <v>0</v>
      </c>
      <c r="V47" s="25">
        <f>IF(OR('Men''s Epée'!$A$3=1,N47&gt;0),ABS(N47),0)</f>
        <v>0</v>
      </c>
      <c r="W47" s="25">
        <f>IF(OR('Men''s Epée'!$A$3=1,O47&gt;0),ABS(O47),0)</f>
        <v>0</v>
      </c>
      <c r="X47" s="25">
        <f>IF(OR('Men''s Epée'!$A$3=1,P47&gt;0),ABS(P47),0)</f>
        <v>0</v>
      </c>
      <c r="Y47" s="25">
        <f>IF(OR('Men''s Epée'!$A$3=1,Q47&gt;0),ABS(Q47),0)</f>
        <v>0</v>
      </c>
      <c r="AA47" s="12">
        <f>IF('Men''s Epée'!$S$3=TRUE,I47,0)</f>
        <v>410</v>
      </c>
      <c r="AB47" s="12">
        <f>IF('Men''s Epée'!$T$3=TRUE,K47,0)</f>
        <v>0</v>
      </c>
      <c r="AC47" s="12">
        <f>IF('Men''s Epée'!$U$3=TRUE,M47,0)</f>
        <v>0</v>
      </c>
      <c r="AD47" s="26">
        <f t="shared" si="22"/>
        <v>0</v>
      </c>
      <c r="AE47" s="26">
        <f t="shared" si="23"/>
        <v>0</v>
      </c>
      <c r="AF47" s="26">
        <f t="shared" si="24"/>
        <v>0</v>
      </c>
      <c r="AG47" s="26">
        <f t="shared" si="25"/>
        <v>0</v>
      </c>
      <c r="AH47" s="12">
        <f t="shared" si="9"/>
        <v>410</v>
      </c>
    </row>
    <row r="48" spans="1:34" ht="13.5">
      <c r="A48" s="16" t="str">
        <f t="shared" si="8"/>
        <v>45</v>
      </c>
      <c r="B48" s="16" t="str">
        <f t="shared" si="18"/>
        <v>#</v>
      </c>
      <c r="C48" s="17" t="s">
        <v>324</v>
      </c>
      <c r="D48" s="18">
        <v>1985</v>
      </c>
      <c r="E48" s="19">
        <f>ROUND(F48+IF('Men''s Epée'!$A$3=1,G48,0)+LARGE($S48:$Y48,1)+LARGE($S48:$Y48,2),0)</f>
        <v>400</v>
      </c>
      <c r="F48" s="20"/>
      <c r="G48" s="21"/>
      <c r="H48" s="21" t="s">
        <v>5</v>
      </c>
      <c r="I48" s="22">
        <f>IF(OR('Men''s Epée'!$A$3=1,'Men''s Epée'!$S$3=TRUE),IF(OR(H48&gt;=49,ISNUMBER(H48)=FALSE),0,VLOOKUP(H48,PointTable,I$3,TRUE)),0)</f>
        <v>0</v>
      </c>
      <c r="J48" s="21">
        <v>20</v>
      </c>
      <c r="K48" s="22">
        <f>IF(OR('Men''s Epée'!$A$3=1,'Men''s Epée'!$T$3=TRUE),IF(OR(J48&gt;=49,ISNUMBER(J48)=FALSE),0,VLOOKUP(J48,PointTable,K$3,TRUE)),0)</f>
        <v>400</v>
      </c>
      <c r="L48" s="21" t="s">
        <v>5</v>
      </c>
      <c r="M48" s="22">
        <f>IF(OR('Men''s Epée'!$A$3=1,'Men''s Epée'!$U$3=TRUE),IF(OR(L48&gt;=49,ISNUMBER(L48)=FALSE),0,VLOOKUP(L48,PointTable,M$3,TRUE)),0)</f>
        <v>0</v>
      </c>
      <c r="N48" s="23"/>
      <c r="O48" s="23"/>
      <c r="P48" s="23"/>
      <c r="Q48" s="24"/>
      <c r="S48" s="25">
        <f t="shared" si="19"/>
        <v>0</v>
      </c>
      <c r="T48" s="25">
        <f t="shared" si="20"/>
        <v>400</v>
      </c>
      <c r="U48" s="25">
        <f t="shared" si="21"/>
        <v>0</v>
      </c>
      <c r="V48" s="25">
        <f>IF(OR('Men''s Epée'!$A$3=1,N48&gt;0),ABS(N48),0)</f>
        <v>0</v>
      </c>
      <c r="W48" s="25">
        <f>IF(OR('Men''s Epée'!$A$3=1,O48&gt;0),ABS(O48),0)</f>
        <v>0</v>
      </c>
      <c r="X48" s="25">
        <f>IF(OR('Men''s Epée'!$A$3=1,P48&gt;0),ABS(P48),0)</f>
        <v>0</v>
      </c>
      <c r="Y48" s="25">
        <f>IF(OR('Men''s Epée'!$A$3=1,Q48&gt;0),ABS(Q48),0)</f>
        <v>0</v>
      </c>
      <c r="AA48" s="12">
        <f>IF('Men''s Epée'!$S$3=TRUE,I48,0)</f>
        <v>0</v>
      </c>
      <c r="AB48" s="12">
        <f>IF('Men''s Epée'!$T$3=TRUE,K48,0)</f>
        <v>400</v>
      </c>
      <c r="AC48" s="12">
        <f>IF('Men''s Epée'!$U$3=TRUE,M48,0)</f>
        <v>0</v>
      </c>
      <c r="AD48" s="26">
        <f t="shared" si="22"/>
        <v>0</v>
      </c>
      <c r="AE48" s="26">
        <f t="shared" si="23"/>
        <v>0</v>
      </c>
      <c r="AF48" s="26">
        <f t="shared" si="24"/>
        <v>0</v>
      </c>
      <c r="AG48" s="26">
        <f t="shared" si="25"/>
        <v>0</v>
      </c>
      <c r="AH48" s="12">
        <f>LARGE(AA48:AG48,1)+LARGE(AA48:AG48,2)+F48</f>
        <v>400</v>
      </c>
    </row>
    <row r="49" spans="1:34" ht="13.5">
      <c r="A49" s="16" t="str">
        <f t="shared" si="8"/>
        <v>46</v>
      </c>
      <c r="B49" s="16">
        <f t="shared" si="18"/>
      </c>
      <c r="C49" s="17" t="s">
        <v>226</v>
      </c>
      <c r="D49" s="18">
        <v>1970</v>
      </c>
      <c r="E49" s="19">
        <f>ROUND(F49+IF('Men''s Epée'!$A$3=1,G49,0)+LARGE($S49:$Y49,1)+LARGE($S49:$Y49,2),0)</f>
        <v>390</v>
      </c>
      <c r="F49" s="20"/>
      <c r="G49" s="21"/>
      <c r="H49" s="21">
        <v>22</v>
      </c>
      <c r="I49" s="22">
        <f>IF(OR('Men''s Epée'!$A$3=1,'Men''s Epée'!$S$3=TRUE),IF(OR(H49&gt;=49,ISNUMBER(H49)=FALSE),0,VLOOKUP(H49,PointTable,I$3,TRUE)),0)</f>
        <v>390</v>
      </c>
      <c r="J49" s="21" t="s">
        <v>5</v>
      </c>
      <c r="K49" s="22">
        <f>IF(OR('Men''s Epée'!$A$3=1,'Men''s Epée'!$T$3=TRUE),IF(OR(J49&gt;=49,ISNUMBER(J49)=FALSE),0,VLOOKUP(J49,PointTable,K$3,TRUE)),0)</f>
        <v>0</v>
      </c>
      <c r="L49" s="21" t="s">
        <v>5</v>
      </c>
      <c r="M49" s="22">
        <f>IF(OR('Men''s Epée'!$A$3=1,'Men''s Epée'!$U$3=TRUE),IF(OR(L49&gt;=49,ISNUMBER(L49)=FALSE),0,VLOOKUP(L49,PointTable,M$3,TRUE)),0)</f>
        <v>0</v>
      </c>
      <c r="N49" s="23"/>
      <c r="O49" s="23"/>
      <c r="P49" s="23"/>
      <c r="Q49" s="24"/>
      <c r="S49" s="25">
        <f t="shared" si="19"/>
        <v>390</v>
      </c>
      <c r="T49" s="25">
        <f t="shared" si="20"/>
        <v>0</v>
      </c>
      <c r="U49" s="25">
        <f t="shared" si="21"/>
        <v>0</v>
      </c>
      <c r="V49" s="25">
        <f>IF(OR('Men''s Epée'!$A$3=1,N49&gt;0),ABS(N49),0)</f>
        <v>0</v>
      </c>
      <c r="W49" s="25">
        <f>IF(OR('Men''s Epée'!$A$3=1,O49&gt;0),ABS(O49),0)</f>
        <v>0</v>
      </c>
      <c r="X49" s="25">
        <f>IF(OR('Men''s Epée'!$A$3=1,P49&gt;0),ABS(P49),0)</f>
        <v>0</v>
      </c>
      <c r="Y49" s="25">
        <f>IF(OR('Men''s Epée'!$A$3=1,Q49&gt;0),ABS(Q49),0)</f>
        <v>0</v>
      </c>
      <c r="AA49" s="12">
        <f>IF('Men''s Epée'!$S$3=TRUE,I49,0)</f>
        <v>390</v>
      </c>
      <c r="AB49" s="12">
        <f>IF('Men''s Epée'!$T$3=TRUE,K49,0)</f>
        <v>0</v>
      </c>
      <c r="AC49" s="12">
        <f>IF('Men''s Epée'!$U$3=TRUE,M49,0)</f>
        <v>0</v>
      </c>
      <c r="AD49" s="26">
        <f t="shared" si="22"/>
        <v>0</v>
      </c>
      <c r="AE49" s="26">
        <f t="shared" si="23"/>
        <v>0</v>
      </c>
      <c r="AF49" s="26">
        <f t="shared" si="24"/>
        <v>0</v>
      </c>
      <c r="AG49" s="26">
        <f t="shared" si="25"/>
        <v>0</v>
      </c>
      <c r="AH49" s="12">
        <f>LARGE(AA49:AG49,1)+LARGE(AA49:AG49,2)+F49</f>
        <v>390</v>
      </c>
    </row>
    <row r="50" spans="1:34" ht="13.5">
      <c r="A50" s="16" t="str">
        <f t="shared" si="8"/>
        <v>47</v>
      </c>
      <c r="B50" s="16" t="str">
        <f t="shared" si="18"/>
        <v>#</v>
      </c>
      <c r="C50" s="17" t="s">
        <v>213</v>
      </c>
      <c r="D50" s="18">
        <v>1987</v>
      </c>
      <c r="E50" s="19">
        <f>ROUND(F50+IF('Men''s Epée'!$A$3=1,G50,0)+LARGE($S50:$Y50,1)+LARGE($S50:$Y50,2),0)</f>
        <v>315</v>
      </c>
      <c r="F50" s="20"/>
      <c r="G50" s="21"/>
      <c r="H50" s="21">
        <v>25</v>
      </c>
      <c r="I50" s="22">
        <f>IF(OR('Men''s Epée'!$A$3=1,'Men''s Epée'!$S$3=TRUE),IF(OR(H50&gt;=49,ISNUMBER(H50)=FALSE),0,VLOOKUP(H50,PointTable,I$3,TRUE)),0)</f>
        <v>315</v>
      </c>
      <c r="J50" s="21" t="s">
        <v>5</v>
      </c>
      <c r="K50" s="22">
        <f>IF(OR('Men''s Epée'!$A$3=1,'Men''s Epée'!$T$3=TRUE),IF(OR(J50&gt;=49,ISNUMBER(J50)=FALSE),0,VLOOKUP(J50,PointTable,K$3,TRUE)),0)</f>
        <v>0</v>
      </c>
      <c r="L50" s="21" t="s">
        <v>5</v>
      </c>
      <c r="M50" s="22">
        <f>IF(OR('Men''s Epée'!$A$3=1,'Men''s Epée'!$U$3=TRUE),IF(OR(L50&gt;=49,ISNUMBER(L50)=FALSE),0,VLOOKUP(L50,PointTable,M$3,TRUE)),0)</f>
        <v>0</v>
      </c>
      <c r="N50" s="23"/>
      <c r="O50" s="23"/>
      <c r="P50" s="23"/>
      <c r="Q50" s="24"/>
      <c r="S50" s="25">
        <f t="shared" si="19"/>
        <v>315</v>
      </c>
      <c r="T50" s="25">
        <f t="shared" si="20"/>
        <v>0</v>
      </c>
      <c r="U50" s="25">
        <f t="shared" si="21"/>
        <v>0</v>
      </c>
      <c r="V50" s="25">
        <f>IF(OR('Men''s Epée'!$A$3=1,N50&gt;0),ABS(N50),0)</f>
        <v>0</v>
      </c>
      <c r="W50" s="25">
        <f>IF(OR('Men''s Epée'!$A$3=1,O50&gt;0),ABS(O50),0)</f>
        <v>0</v>
      </c>
      <c r="X50" s="25">
        <f>IF(OR('Men''s Epée'!$A$3=1,P50&gt;0),ABS(P50),0)</f>
        <v>0</v>
      </c>
      <c r="Y50" s="25">
        <f>IF(OR('Men''s Epée'!$A$3=1,Q50&gt;0),ABS(Q50),0)</f>
        <v>0</v>
      </c>
      <c r="AA50" s="12">
        <f>IF('Men''s Epée'!$S$3=TRUE,I50,0)</f>
        <v>315</v>
      </c>
      <c r="AB50" s="12">
        <f>IF('Men''s Epée'!$T$3=TRUE,K50,0)</f>
        <v>0</v>
      </c>
      <c r="AC50" s="12">
        <f>IF('Men''s Epée'!$U$3=TRUE,M50,0)</f>
        <v>0</v>
      </c>
      <c r="AD50" s="26">
        <f t="shared" si="22"/>
        <v>0</v>
      </c>
      <c r="AE50" s="26">
        <f t="shared" si="23"/>
        <v>0</v>
      </c>
      <c r="AF50" s="26">
        <f t="shared" si="24"/>
        <v>0</v>
      </c>
      <c r="AG50" s="26">
        <f t="shared" si="25"/>
        <v>0</v>
      </c>
      <c r="AH50" s="12">
        <f>LARGE(AA50:AG50,1)+LARGE(AA50:AG50,2)+F50</f>
        <v>315</v>
      </c>
    </row>
    <row r="51" spans="1:34" ht="13.5">
      <c r="A51" s="16" t="str">
        <f t="shared" si="8"/>
        <v>48</v>
      </c>
      <c r="B51" s="16">
        <f t="shared" si="18"/>
      </c>
      <c r="C51" s="17" t="s">
        <v>325</v>
      </c>
      <c r="D51" s="18">
        <v>1980</v>
      </c>
      <c r="E51" s="19">
        <f>ROUND(F51+IF('Men''s Epée'!$A$3=1,G51,0)+LARGE($S51:$Y51,1)+LARGE($S51:$Y51,2),0)</f>
        <v>303</v>
      </c>
      <c r="F51" s="20"/>
      <c r="G51" s="21"/>
      <c r="H51" s="21" t="s">
        <v>5</v>
      </c>
      <c r="I51" s="22">
        <f>IF(OR('Men''s Epée'!$A$3=1,'Men''s Epée'!$S$3=TRUE),IF(OR(H51&gt;=49,ISNUMBER(H51)=FALSE),0,VLOOKUP(H51,PointTable,I$3,TRUE)),0)</f>
        <v>0</v>
      </c>
      <c r="J51" s="21">
        <v>27.5</v>
      </c>
      <c r="K51" s="22">
        <f>IF(OR('Men''s Epée'!$A$3=1,'Men''s Epée'!$T$3=TRUE),IF(OR(J51&gt;=49,ISNUMBER(J51)=FALSE),0,VLOOKUP(J51,PointTable,K$3,TRUE)),0)</f>
        <v>302.5</v>
      </c>
      <c r="L51" s="21" t="s">
        <v>5</v>
      </c>
      <c r="M51" s="22">
        <f>IF(OR('Men''s Epée'!$A$3=1,'Men''s Epée'!$U$3=TRUE),IF(OR(L51&gt;=49,ISNUMBER(L51)=FALSE),0,VLOOKUP(L51,PointTable,M$3,TRUE)),0)</f>
        <v>0</v>
      </c>
      <c r="N51" s="23"/>
      <c r="O51" s="23"/>
      <c r="P51" s="23"/>
      <c r="Q51" s="24"/>
      <c r="S51" s="25">
        <f t="shared" si="19"/>
        <v>0</v>
      </c>
      <c r="T51" s="25">
        <f t="shared" si="20"/>
        <v>302.5</v>
      </c>
      <c r="U51" s="25">
        <f t="shared" si="21"/>
        <v>0</v>
      </c>
      <c r="V51" s="25">
        <f>IF(OR('Men''s Epée'!$A$3=1,N51&gt;0),ABS(N51),0)</f>
        <v>0</v>
      </c>
      <c r="W51" s="25">
        <f>IF(OR('Men''s Epée'!$A$3=1,O51&gt;0),ABS(O51),0)</f>
        <v>0</v>
      </c>
      <c r="X51" s="25">
        <f>IF(OR('Men''s Epée'!$A$3=1,P51&gt;0),ABS(P51),0)</f>
        <v>0</v>
      </c>
      <c r="Y51" s="25">
        <f>IF(OR('Men''s Epée'!$A$3=1,Q51&gt;0),ABS(Q51),0)</f>
        <v>0</v>
      </c>
      <c r="AA51" s="12">
        <f>IF('Men''s Epée'!$S$3=TRUE,I51,0)</f>
        <v>0</v>
      </c>
      <c r="AB51" s="12">
        <f>IF('Men''s Epée'!$T$3=TRUE,K51,0)</f>
        <v>302.5</v>
      </c>
      <c r="AC51" s="12">
        <f>IF('Men''s Epée'!$U$3=TRUE,M51,0)</f>
        <v>0</v>
      </c>
      <c r="AD51" s="26">
        <f t="shared" si="22"/>
        <v>0</v>
      </c>
      <c r="AE51" s="26">
        <f t="shared" si="23"/>
        <v>0</v>
      </c>
      <c r="AF51" s="26">
        <f t="shared" si="24"/>
        <v>0</v>
      </c>
      <c r="AG51" s="26">
        <f t="shared" si="25"/>
        <v>0</v>
      </c>
      <c r="AH51" s="12">
        <f>LARGE(AA51:AG51,1)+LARGE(AA51:AG51,2)+F51</f>
        <v>302.5</v>
      </c>
    </row>
    <row r="52" spans="1:34" ht="13.5">
      <c r="A52" s="16" t="str">
        <f t="shared" si="8"/>
        <v>49</v>
      </c>
      <c r="B52" s="16" t="str">
        <f t="shared" si="18"/>
        <v>#</v>
      </c>
      <c r="C52" s="17" t="s">
        <v>272</v>
      </c>
      <c r="D52" s="18">
        <v>1983</v>
      </c>
      <c r="E52" s="19">
        <f>ROUND(F52+IF('Men''s Epée'!$A$3=1,G52,0)+LARGE($S52:$Y52,1)+LARGE($S52:$Y52,2),0)</f>
        <v>290</v>
      </c>
      <c r="F52" s="20"/>
      <c r="G52" s="21"/>
      <c r="H52" s="21">
        <v>30</v>
      </c>
      <c r="I52" s="22">
        <f>IF(OR('Men''s Epée'!$A$3=1,'Men''s Epée'!$S$3=TRUE),IF(OR(H52&gt;=49,ISNUMBER(H52)=FALSE),0,VLOOKUP(H52,PointTable,I$3,TRUE)),0)</f>
        <v>290</v>
      </c>
      <c r="J52" s="21" t="s">
        <v>5</v>
      </c>
      <c r="K52" s="22">
        <f>IF(OR('Men''s Epée'!$A$3=1,'Men''s Epée'!$T$3=TRUE),IF(OR(J52&gt;=49,ISNUMBER(J52)=FALSE),0,VLOOKUP(J52,PointTable,K$3,TRUE)),0)</f>
        <v>0</v>
      </c>
      <c r="L52" s="21" t="s">
        <v>5</v>
      </c>
      <c r="M52" s="22">
        <f>IF(OR('Men''s Epée'!$A$3=1,'Men''s Epée'!$U$3=TRUE),IF(OR(L52&gt;=49,ISNUMBER(L52)=FALSE),0,VLOOKUP(L52,PointTable,M$3,TRUE)),0)</f>
        <v>0</v>
      </c>
      <c r="N52" s="23"/>
      <c r="O52" s="23"/>
      <c r="P52" s="23"/>
      <c r="Q52" s="24"/>
      <c r="S52" s="25">
        <f t="shared" si="19"/>
        <v>290</v>
      </c>
      <c r="T52" s="25">
        <f t="shared" si="20"/>
        <v>0</v>
      </c>
      <c r="U52" s="25">
        <f t="shared" si="21"/>
        <v>0</v>
      </c>
      <c r="V52" s="25">
        <f>IF(OR('Men''s Epée'!$A$3=1,N52&gt;0),ABS(N52),0)</f>
        <v>0</v>
      </c>
      <c r="W52" s="25">
        <f>IF(OR('Men''s Epée'!$A$3=1,O52&gt;0),ABS(O52),0)</f>
        <v>0</v>
      </c>
      <c r="X52" s="25">
        <f>IF(OR('Men''s Epée'!$A$3=1,P52&gt;0),ABS(P52),0)</f>
        <v>0</v>
      </c>
      <c r="Y52" s="25">
        <f>IF(OR('Men''s Epée'!$A$3=1,Q52&gt;0),ABS(Q52),0)</f>
        <v>0</v>
      </c>
      <c r="AA52" s="12">
        <f>IF('Men''s Epée'!$S$3=TRUE,I52,0)</f>
        <v>290</v>
      </c>
      <c r="AB52" s="12">
        <f>IF('Men''s Epée'!$T$3=TRUE,K52,0)</f>
        <v>0</v>
      </c>
      <c r="AC52" s="12">
        <f>IF('Men''s Epée'!$U$3=TRUE,M52,0)</f>
        <v>0</v>
      </c>
      <c r="AD52" s="26">
        <f t="shared" si="22"/>
        <v>0</v>
      </c>
      <c r="AE52" s="26">
        <f t="shared" si="23"/>
        <v>0</v>
      </c>
      <c r="AF52" s="26">
        <f t="shared" si="24"/>
        <v>0</v>
      </c>
      <c r="AG52" s="26">
        <f t="shared" si="25"/>
        <v>0</v>
      </c>
      <c r="AH52" s="12">
        <f>LARGE(AA52:AG52,1)+LARGE(AA52:AG52,2)+F52</f>
        <v>290</v>
      </c>
    </row>
    <row r="53" spans="1:34" ht="13.5">
      <c r="A53" s="16" t="str">
        <f t="shared" si="8"/>
        <v>50</v>
      </c>
      <c r="B53" s="16">
        <f aca="true" t="shared" si="26" ref="B53:B61">TRIM(IF(D53&gt;=JuniorCutoff,"#",""))</f>
      </c>
      <c r="C53" s="17" t="s">
        <v>279</v>
      </c>
      <c r="D53" s="18">
        <v>1958</v>
      </c>
      <c r="E53" s="19">
        <f>ROUND(F53+IF('Men''s Epée'!$A$3=1,G53,0)+LARGE($S53:$Y53,1)+LARGE($S53:$Y53,2),0)</f>
        <v>285</v>
      </c>
      <c r="F53" s="20"/>
      <c r="G53" s="21"/>
      <c r="H53" s="21">
        <v>31</v>
      </c>
      <c r="I53" s="22">
        <f>IF(OR('Men''s Epée'!$A$3=1,'Men''s Epée'!$S$3=TRUE),IF(OR(H53&gt;=49,ISNUMBER(H53)=FALSE),0,VLOOKUP(H53,PointTable,I$3,TRUE)),0)</f>
        <v>285</v>
      </c>
      <c r="J53" s="21" t="s">
        <v>5</v>
      </c>
      <c r="K53" s="22">
        <f>IF(OR('Men''s Epée'!$A$3=1,'Men''s Epée'!$T$3=TRUE),IF(OR(J53&gt;=49,ISNUMBER(J53)=FALSE),0,VLOOKUP(J53,PointTable,K$3,TRUE)),0)</f>
        <v>0</v>
      </c>
      <c r="L53" s="21" t="s">
        <v>5</v>
      </c>
      <c r="M53" s="22">
        <f>IF(OR('Men''s Epée'!$A$3=1,'Men''s Epée'!$U$3=TRUE),IF(OR(L53&gt;=49,ISNUMBER(L53)=FALSE),0,VLOOKUP(L53,PointTable,M$3,TRUE)),0)</f>
        <v>0</v>
      </c>
      <c r="N53" s="23"/>
      <c r="O53" s="23"/>
      <c r="P53" s="23"/>
      <c r="Q53" s="24"/>
      <c r="S53" s="25">
        <f aca="true" t="shared" si="27" ref="S53:S61">I53</f>
        <v>285</v>
      </c>
      <c r="T53" s="25">
        <f aca="true" t="shared" si="28" ref="T53:T61">K53</f>
        <v>0</v>
      </c>
      <c r="U53" s="25">
        <f aca="true" t="shared" si="29" ref="U53:U61">M53</f>
        <v>0</v>
      </c>
      <c r="V53" s="25">
        <f>IF(OR('Men''s Epée'!$A$3=1,N53&gt;0),ABS(N53),0)</f>
        <v>0</v>
      </c>
      <c r="W53" s="25">
        <f>IF(OR('Men''s Epée'!$A$3=1,O53&gt;0),ABS(O53),0)</f>
        <v>0</v>
      </c>
      <c r="X53" s="25">
        <f>IF(OR('Men''s Epée'!$A$3=1,P53&gt;0),ABS(P53),0)</f>
        <v>0</v>
      </c>
      <c r="Y53" s="25">
        <f>IF(OR('Men''s Epée'!$A$3=1,Q53&gt;0),ABS(Q53),0)</f>
        <v>0</v>
      </c>
      <c r="AA53" s="12">
        <f>IF('Men''s Epée'!$S$3=TRUE,I53,0)</f>
        <v>285</v>
      </c>
      <c r="AB53" s="12">
        <f>IF('Men''s Epée'!$T$3=TRUE,K53,0)</f>
        <v>0</v>
      </c>
      <c r="AC53" s="12">
        <f>IF('Men''s Epée'!$U$3=TRUE,M53,0)</f>
        <v>0</v>
      </c>
      <c r="AD53" s="26">
        <f aca="true" t="shared" si="30" ref="AD53:AD61">MAX(N53,0)</f>
        <v>0</v>
      </c>
      <c r="AE53" s="26">
        <f aca="true" t="shared" si="31" ref="AE53:AE61">MAX(O53,0)</f>
        <v>0</v>
      </c>
      <c r="AF53" s="26">
        <f aca="true" t="shared" si="32" ref="AF53:AF61">MAX(P53,0)</f>
        <v>0</v>
      </c>
      <c r="AG53" s="26">
        <f aca="true" t="shared" si="33" ref="AG53:AG61">MAX(Q53,0)</f>
        <v>0</v>
      </c>
      <c r="AH53" s="12">
        <f aca="true" t="shared" si="34" ref="AH53:AH61">LARGE(AA53:AG53,1)+LARGE(AA53:AG53,2)+F53</f>
        <v>285</v>
      </c>
    </row>
    <row r="54" spans="1:34" ht="13.5">
      <c r="A54" s="16" t="str">
        <f t="shared" si="8"/>
        <v>51T</v>
      </c>
      <c r="B54" s="16" t="str">
        <f t="shared" si="26"/>
        <v>#</v>
      </c>
      <c r="C54" s="17" t="s">
        <v>388</v>
      </c>
      <c r="D54" s="18">
        <v>1983</v>
      </c>
      <c r="E54" s="19">
        <f>ROUND(F54+IF('Men''s Epée'!$A$3=1,G54,0)+LARGE($S54:$Y54,1)+LARGE($S54:$Y54,2),0)</f>
        <v>275</v>
      </c>
      <c r="F54" s="20"/>
      <c r="G54" s="21"/>
      <c r="H54" s="21" t="s">
        <v>5</v>
      </c>
      <c r="I54" s="22">
        <f>IF(OR('Men''s Epée'!$A$3=1,'Men''s Epée'!$S$3=TRUE),IF(OR(H54&gt;=49,ISNUMBER(H54)=FALSE),0,VLOOKUP(H54,PointTable,I$3,TRUE)),0)</f>
        <v>0</v>
      </c>
      <c r="J54" s="21" t="s">
        <v>5</v>
      </c>
      <c r="K54" s="22">
        <f>IF(OR('Men''s Epée'!$A$3=1,'Men''s Epée'!$T$3=TRUE),IF(OR(J54&gt;=49,ISNUMBER(J54)=FALSE),0,VLOOKUP(J54,PointTable,K$3,TRUE)),0)</f>
        <v>0</v>
      </c>
      <c r="L54" s="21">
        <v>32</v>
      </c>
      <c r="M54" s="22">
        <f>IF(OR('Men''s Epée'!$A$3=1,'Men''s Epée'!$U$3=TRUE),IF(OR(L54&gt;=49,ISNUMBER(L54)=FALSE),0,VLOOKUP(L54,PointTable,M$3,TRUE)),0)</f>
        <v>275</v>
      </c>
      <c r="N54" s="23"/>
      <c r="O54" s="23"/>
      <c r="P54" s="23"/>
      <c r="Q54" s="24"/>
      <c r="S54" s="25">
        <f t="shared" si="27"/>
        <v>0</v>
      </c>
      <c r="T54" s="25">
        <f t="shared" si="28"/>
        <v>0</v>
      </c>
      <c r="U54" s="25">
        <f t="shared" si="29"/>
        <v>275</v>
      </c>
      <c r="V54" s="25">
        <f>IF(OR('Men''s Epée'!$A$3=1,N54&gt;0),ABS(N54),0)</f>
        <v>0</v>
      </c>
      <c r="W54" s="25">
        <f>IF(OR('Men''s Epée'!$A$3=1,O54&gt;0),ABS(O54),0)</f>
        <v>0</v>
      </c>
      <c r="X54" s="25">
        <f>IF(OR('Men''s Epée'!$A$3=1,P54&gt;0),ABS(P54),0)</f>
        <v>0</v>
      </c>
      <c r="Y54" s="25">
        <f>IF(OR('Men''s Epée'!$A$3=1,Q54&gt;0),ABS(Q54),0)</f>
        <v>0</v>
      </c>
      <c r="AA54" s="12">
        <f>IF('Men''s Epée'!$S$3=TRUE,I54,0)</f>
        <v>0</v>
      </c>
      <c r="AB54" s="12">
        <f>IF('Men''s Epée'!$T$3=TRUE,K54,0)</f>
        <v>0</v>
      </c>
      <c r="AC54" s="12">
        <f>IF('Men''s Epée'!$U$3=TRUE,M54,0)</f>
        <v>275</v>
      </c>
      <c r="AD54" s="26">
        <f t="shared" si="30"/>
        <v>0</v>
      </c>
      <c r="AE54" s="26">
        <f t="shared" si="31"/>
        <v>0</v>
      </c>
      <c r="AF54" s="26">
        <f t="shared" si="32"/>
        <v>0</v>
      </c>
      <c r="AG54" s="26">
        <f t="shared" si="33"/>
        <v>0</v>
      </c>
      <c r="AH54" s="12">
        <f t="shared" si="34"/>
        <v>275</v>
      </c>
    </row>
    <row r="55" spans="1:34" ht="13.5">
      <c r="A55" s="16" t="str">
        <f t="shared" si="8"/>
        <v>51T</v>
      </c>
      <c r="B55" s="16">
        <f t="shared" si="26"/>
      </c>
      <c r="C55" s="17" t="s">
        <v>274</v>
      </c>
      <c r="D55" s="18">
        <v>1977</v>
      </c>
      <c r="E55" s="19">
        <f>ROUND(F55+IF('Men''s Epée'!$A$3=1,G55,0)+LARGE($S55:$Y55,1)+LARGE($S55:$Y55,2),0)</f>
        <v>275</v>
      </c>
      <c r="F55" s="20"/>
      <c r="G55" s="21"/>
      <c r="H55" s="21">
        <v>33</v>
      </c>
      <c r="I55" s="22">
        <f>IF(OR('Men''s Epée'!$A$3=1,'Men''s Epée'!$S$3=TRUE),IF(OR(H55&gt;=49,ISNUMBER(H55)=FALSE),0,VLOOKUP(H55,PointTable,I$3,TRUE)),0)</f>
        <v>275</v>
      </c>
      <c r="J55" s="21" t="s">
        <v>5</v>
      </c>
      <c r="K55" s="22">
        <f>IF(OR('Men''s Epée'!$A$3=1,'Men''s Epée'!$T$3=TRUE),IF(OR(J55&gt;=49,ISNUMBER(J55)=FALSE),0,VLOOKUP(J55,PointTable,K$3,TRUE)),0)</f>
        <v>0</v>
      </c>
      <c r="L55" s="21" t="s">
        <v>5</v>
      </c>
      <c r="M55" s="22">
        <f>IF(OR('Men''s Epée'!$A$3=1,'Men''s Epée'!$U$3=TRUE),IF(OR(L55&gt;=49,ISNUMBER(L55)=FALSE),0,VLOOKUP(L55,PointTable,M$3,TRUE)),0)</f>
        <v>0</v>
      </c>
      <c r="N55" s="23"/>
      <c r="O55" s="23"/>
      <c r="P55" s="23"/>
      <c r="Q55" s="24"/>
      <c r="S55" s="25">
        <f t="shared" si="27"/>
        <v>275</v>
      </c>
      <c r="T55" s="25">
        <f t="shared" si="28"/>
        <v>0</v>
      </c>
      <c r="U55" s="25">
        <f t="shared" si="29"/>
        <v>0</v>
      </c>
      <c r="V55" s="25">
        <f>IF(OR('Men''s Epée'!$A$3=1,N55&gt;0),ABS(N55),0)</f>
        <v>0</v>
      </c>
      <c r="W55" s="25">
        <f>IF(OR('Men''s Epée'!$A$3=1,O55&gt;0),ABS(O55),0)</f>
        <v>0</v>
      </c>
      <c r="X55" s="25">
        <f>IF(OR('Men''s Epée'!$A$3=1,P55&gt;0),ABS(P55),0)</f>
        <v>0</v>
      </c>
      <c r="Y55" s="25">
        <f>IF(OR('Men''s Epée'!$A$3=1,Q55&gt;0),ABS(Q55),0)</f>
        <v>0</v>
      </c>
      <c r="AA55" s="12">
        <f>IF('Men''s Epée'!$S$3=TRUE,I55,0)</f>
        <v>275</v>
      </c>
      <c r="AB55" s="12">
        <f>IF('Men''s Epée'!$T$3=TRUE,K55,0)</f>
        <v>0</v>
      </c>
      <c r="AC55" s="12">
        <f>IF('Men''s Epée'!$U$3=TRUE,M55,0)</f>
        <v>0</v>
      </c>
      <c r="AD55" s="26">
        <f t="shared" si="30"/>
        <v>0</v>
      </c>
      <c r="AE55" s="26">
        <f t="shared" si="31"/>
        <v>0</v>
      </c>
      <c r="AF55" s="26">
        <f t="shared" si="32"/>
        <v>0</v>
      </c>
      <c r="AG55" s="26">
        <f t="shared" si="33"/>
        <v>0</v>
      </c>
      <c r="AH55" s="12">
        <f t="shared" si="34"/>
        <v>275</v>
      </c>
    </row>
    <row r="56" spans="1:34" ht="13.5">
      <c r="A56" s="16" t="str">
        <f t="shared" si="8"/>
        <v>53</v>
      </c>
      <c r="B56" s="16">
        <f t="shared" si="26"/>
      </c>
      <c r="C56" s="17" t="s">
        <v>275</v>
      </c>
      <c r="D56" s="18">
        <v>1975</v>
      </c>
      <c r="E56" s="19">
        <f>ROUND(F56+IF('Men''s Epée'!$A$3=1,G56,0)+LARGE($S56:$Y56,1)+LARGE($S56:$Y56,2),0)</f>
        <v>245</v>
      </c>
      <c r="F56" s="20"/>
      <c r="G56" s="21"/>
      <c r="H56" s="21">
        <v>39</v>
      </c>
      <c r="I56" s="22">
        <f>IF(OR('Men''s Epée'!$A$3=1,'Men''s Epée'!$S$3=TRUE),IF(OR(H56&gt;=49,ISNUMBER(H56)=FALSE),0,VLOOKUP(H56,PointTable,I$3,TRUE)),0)</f>
        <v>245</v>
      </c>
      <c r="J56" s="21" t="s">
        <v>5</v>
      </c>
      <c r="K56" s="22">
        <f>IF(OR('Men''s Epée'!$A$3=1,'Men''s Epée'!$T$3=TRUE),IF(OR(J56&gt;=49,ISNUMBER(J56)=FALSE),0,VLOOKUP(J56,PointTable,K$3,TRUE)),0)</f>
        <v>0</v>
      </c>
      <c r="L56" s="21" t="s">
        <v>5</v>
      </c>
      <c r="M56" s="22">
        <f>IF(OR('Men''s Epée'!$A$3=1,'Men''s Epée'!$U$3=TRUE),IF(OR(L56&gt;=49,ISNUMBER(L56)=FALSE),0,VLOOKUP(L56,PointTable,M$3,TRUE)),0)</f>
        <v>0</v>
      </c>
      <c r="N56" s="23"/>
      <c r="O56" s="23"/>
      <c r="P56" s="23"/>
      <c r="Q56" s="24"/>
      <c r="S56" s="25">
        <f t="shared" si="27"/>
        <v>245</v>
      </c>
      <c r="T56" s="25">
        <f t="shared" si="28"/>
        <v>0</v>
      </c>
      <c r="U56" s="25">
        <f t="shared" si="29"/>
        <v>0</v>
      </c>
      <c r="V56" s="25">
        <f>IF(OR('Men''s Epée'!$A$3=1,N56&gt;0),ABS(N56),0)</f>
        <v>0</v>
      </c>
      <c r="W56" s="25">
        <f>IF(OR('Men''s Epée'!$A$3=1,O56&gt;0),ABS(O56),0)</f>
        <v>0</v>
      </c>
      <c r="X56" s="25">
        <f>IF(OR('Men''s Epée'!$A$3=1,P56&gt;0),ABS(P56),0)</f>
        <v>0</v>
      </c>
      <c r="Y56" s="25">
        <f>IF(OR('Men''s Epée'!$A$3=1,Q56&gt;0),ABS(Q56),0)</f>
        <v>0</v>
      </c>
      <c r="AA56" s="12">
        <f>IF('Men''s Epée'!$S$3=TRUE,I56,0)</f>
        <v>245</v>
      </c>
      <c r="AB56" s="12">
        <f>IF('Men''s Epée'!$T$3=TRUE,K56,0)</f>
        <v>0</v>
      </c>
      <c r="AC56" s="12">
        <f>IF('Men''s Epée'!$U$3=TRUE,M56,0)</f>
        <v>0</v>
      </c>
      <c r="AD56" s="26">
        <f t="shared" si="30"/>
        <v>0</v>
      </c>
      <c r="AE56" s="26">
        <f t="shared" si="31"/>
        <v>0</v>
      </c>
      <c r="AF56" s="26">
        <f t="shared" si="32"/>
        <v>0</v>
      </c>
      <c r="AG56" s="26">
        <f t="shared" si="33"/>
        <v>0</v>
      </c>
      <c r="AH56" s="12">
        <f t="shared" si="34"/>
        <v>245</v>
      </c>
    </row>
    <row r="57" spans="1:34" ht="13.5">
      <c r="A57" s="16" t="str">
        <f t="shared" si="8"/>
        <v>54</v>
      </c>
      <c r="B57" s="16" t="str">
        <f t="shared" si="26"/>
        <v>#</v>
      </c>
      <c r="C57" s="17" t="s">
        <v>326</v>
      </c>
      <c r="D57" s="18">
        <v>1984</v>
      </c>
      <c r="E57" s="19">
        <f>ROUND(F57+IF('Men''s Epée'!$A$3=1,G57,0)+LARGE($S57:$Y57,1)+LARGE($S57:$Y57,2),0)</f>
        <v>240</v>
      </c>
      <c r="F57" s="20"/>
      <c r="G57" s="21"/>
      <c r="H57" s="21" t="s">
        <v>5</v>
      </c>
      <c r="I57" s="22">
        <f>IF(OR('Men''s Epée'!$A$3=1,'Men''s Epée'!$S$3=TRUE),IF(OR(H57&gt;=49,ISNUMBER(H57)=FALSE),0,VLOOKUP(H57,PointTable,I$3,TRUE)),0)</f>
        <v>0</v>
      </c>
      <c r="J57" s="21">
        <v>40</v>
      </c>
      <c r="K57" s="22">
        <f>IF(OR('Men''s Epée'!$A$3=1,'Men''s Epée'!$T$3=TRUE),IF(OR(J57&gt;=49,ISNUMBER(J57)=FALSE),0,VLOOKUP(J57,PointTable,K$3,TRUE)),0)</f>
        <v>240</v>
      </c>
      <c r="L57" s="21" t="s">
        <v>5</v>
      </c>
      <c r="M57" s="22">
        <f>IF(OR('Men''s Epée'!$A$3=1,'Men''s Epée'!$U$3=TRUE),IF(OR(L57&gt;=49,ISNUMBER(L57)=FALSE),0,VLOOKUP(L57,PointTable,M$3,TRUE)),0)</f>
        <v>0</v>
      </c>
      <c r="N57" s="23"/>
      <c r="O57" s="23"/>
      <c r="P57" s="23"/>
      <c r="Q57" s="24"/>
      <c r="S57" s="25">
        <f t="shared" si="27"/>
        <v>0</v>
      </c>
      <c r="T57" s="25">
        <f t="shared" si="28"/>
        <v>240</v>
      </c>
      <c r="U57" s="25">
        <f t="shared" si="29"/>
        <v>0</v>
      </c>
      <c r="V57" s="25">
        <f>IF(OR('Men''s Epée'!$A$3=1,N57&gt;0),ABS(N57),0)</f>
        <v>0</v>
      </c>
      <c r="W57" s="25">
        <f>IF(OR('Men''s Epée'!$A$3=1,O57&gt;0),ABS(O57),0)</f>
        <v>0</v>
      </c>
      <c r="X57" s="25">
        <f>IF(OR('Men''s Epée'!$A$3=1,P57&gt;0),ABS(P57),0)</f>
        <v>0</v>
      </c>
      <c r="Y57" s="25">
        <f>IF(OR('Men''s Epée'!$A$3=1,Q57&gt;0),ABS(Q57),0)</f>
        <v>0</v>
      </c>
      <c r="AA57" s="12">
        <f>IF('Men''s Epée'!$S$3=TRUE,I57,0)</f>
        <v>0</v>
      </c>
      <c r="AB57" s="12">
        <f>IF('Men''s Epée'!$T$3=TRUE,K57,0)</f>
        <v>240</v>
      </c>
      <c r="AC57" s="12">
        <f>IF('Men''s Epée'!$U$3=TRUE,M57,0)</f>
        <v>0</v>
      </c>
      <c r="AD57" s="26">
        <f t="shared" si="30"/>
        <v>0</v>
      </c>
      <c r="AE57" s="26">
        <f t="shared" si="31"/>
        <v>0</v>
      </c>
      <c r="AF57" s="26">
        <f t="shared" si="32"/>
        <v>0</v>
      </c>
      <c r="AG57" s="26">
        <f t="shared" si="33"/>
        <v>0</v>
      </c>
      <c r="AH57" s="12">
        <f t="shared" si="34"/>
        <v>240</v>
      </c>
    </row>
    <row r="58" spans="1:34" ht="13.5">
      <c r="A58" s="16" t="str">
        <f t="shared" si="8"/>
        <v>55</v>
      </c>
      <c r="B58" s="16">
        <f t="shared" si="26"/>
      </c>
      <c r="C58" s="17" t="s">
        <v>51</v>
      </c>
      <c r="D58" s="18">
        <v>1981</v>
      </c>
      <c r="E58" s="19">
        <f>ROUND(F58+IF('Men''s Epée'!$A$3=1,G58,0)+LARGE($S58:$Y58,1)+LARGE($S58:$Y58,2),0)</f>
        <v>230</v>
      </c>
      <c r="F58" s="20"/>
      <c r="G58" s="21"/>
      <c r="H58" s="21" t="s">
        <v>5</v>
      </c>
      <c r="I58" s="22">
        <f>IF(OR('Men''s Epée'!$A$3=1,'Men''s Epée'!$S$3=TRUE),IF(OR(H58&gt;=49,ISNUMBER(H58)=FALSE),0,VLOOKUP(H58,PointTable,I$3,TRUE)),0)</f>
        <v>0</v>
      </c>
      <c r="J58" s="21">
        <v>42</v>
      </c>
      <c r="K58" s="22">
        <f>IF(OR('Men''s Epée'!$A$3=1,'Men''s Epée'!$T$3=TRUE),IF(OR(J58&gt;=49,ISNUMBER(J58)=FALSE),0,VLOOKUP(J58,PointTable,K$3,TRUE)),0)</f>
        <v>230</v>
      </c>
      <c r="L58" s="21" t="s">
        <v>5</v>
      </c>
      <c r="M58" s="22">
        <f>IF(OR('Men''s Epée'!$A$3=1,'Men''s Epée'!$U$3=TRUE),IF(OR(L58&gt;=49,ISNUMBER(L58)=FALSE),0,VLOOKUP(L58,PointTable,M$3,TRUE)),0)</f>
        <v>0</v>
      </c>
      <c r="N58" s="23"/>
      <c r="O58" s="23"/>
      <c r="P58" s="23"/>
      <c r="Q58" s="24"/>
      <c r="S58" s="25">
        <f t="shared" si="27"/>
        <v>0</v>
      </c>
      <c r="T58" s="25">
        <f t="shared" si="28"/>
        <v>230</v>
      </c>
      <c r="U58" s="25">
        <f t="shared" si="29"/>
        <v>0</v>
      </c>
      <c r="V58" s="25">
        <f>IF(OR('Men''s Epée'!$A$3=1,N58&gt;0),ABS(N58),0)</f>
        <v>0</v>
      </c>
      <c r="W58" s="25">
        <f>IF(OR('Men''s Epée'!$A$3=1,O58&gt;0),ABS(O58),0)</f>
        <v>0</v>
      </c>
      <c r="X58" s="25">
        <f>IF(OR('Men''s Epée'!$A$3=1,P58&gt;0),ABS(P58),0)</f>
        <v>0</v>
      </c>
      <c r="Y58" s="25">
        <f>IF(OR('Men''s Epée'!$A$3=1,Q58&gt;0),ABS(Q58),0)</f>
        <v>0</v>
      </c>
      <c r="AA58" s="12">
        <f>IF('Men''s Epée'!$S$3=TRUE,I58,0)</f>
        <v>0</v>
      </c>
      <c r="AB58" s="12">
        <f>IF('Men''s Epée'!$T$3=TRUE,K58,0)</f>
        <v>230</v>
      </c>
      <c r="AC58" s="12">
        <f>IF('Men''s Epée'!$U$3=TRUE,M58,0)</f>
        <v>0</v>
      </c>
      <c r="AD58" s="26">
        <f t="shared" si="30"/>
        <v>0</v>
      </c>
      <c r="AE58" s="26">
        <f t="shared" si="31"/>
        <v>0</v>
      </c>
      <c r="AF58" s="26">
        <f t="shared" si="32"/>
        <v>0</v>
      </c>
      <c r="AG58" s="26">
        <f t="shared" si="33"/>
        <v>0</v>
      </c>
      <c r="AH58" s="12">
        <f t="shared" si="34"/>
        <v>230</v>
      </c>
    </row>
    <row r="59" spans="1:34" ht="13.5">
      <c r="A59" s="16" t="str">
        <f t="shared" si="8"/>
        <v>56</v>
      </c>
      <c r="B59" s="16">
        <f t="shared" si="26"/>
      </c>
      <c r="C59" s="17" t="s">
        <v>328</v>
      </c>
      <c r="D59" s="18">
        <v>1975</v>
      </c>
      <c r="E59" s="19">
        <f>ROUND(F59+IF('Men''s Epée'!$A$3=1,G59,0)+LARGE($S59:$Y59,1)+LARGE($S59:$Y59,2),0)</f>
        <v>215</v>
      </c>
      <c r="F59" s="20"/>
      <c r="G59" s="21"/>
      <c r="H59" s="21" t="s">
        <v>5</v>
      </c>
      <c r="I59" s="22">
        <f>IF(OR('Men''s Epée'!$A$3=1,'Men''s Epée'!$S$3=TRUE),IF(OR(H59&gt;=49,ISNUMBER(H59)=FALSE),0,VLOOKUP(H59,PointTable,I$3,TRUE)),0)</f>
        <v>0</v>
      </c>
      <c r="J59" s="21">
        <v>45</v>
      </c>
      <c r="K59" s="22">
        <f>IF(OR('Men''s Epée'!$A$3=1,'Men''s Epée'!$T$3=TRUE),IF(OR(J59&gt;=49,ISNUMBER(J59)=FALSE),0,VLOOKUP(J59,PointTable,K$3,TRUE)),0)</f>
        <v>215</v>
      </c>
      <c r="L59" s="21" t="s">
        <v>5</v>
      </c>
      <c r="M59" s="22">
        <f>IF(OR('Men''s Epée'!$A$3=1,'Men''s Epée'!$U$3=TRUE),IF(OR(L59&gt;=49,ISNUMBER(L59)=FALSE),0,VLOOKUP(L59,PointTable,M$3,TRUE)),0)</f>
        <v>0</v>
      </c>
      <c r="N59" s="23"/>
      <c r="O59" s="23"/>
      <c r="P59" s="23"/>
      <c r="Q59" s="24"/>
      <c r="S59" s="25">
        <f t="shared" si="27"/>
        <v>0</v>
      </c>
      <c r="T59" s="25">
        <f t="shared" si="28"/>
        <v>215</v>
      </c>
      <c r="U59" s="25">
        <f t="shared" si="29"/>
        <v>0</v>
      </c>
      <c r="V59" s="25">
        <f>IF(OR('Men''s Epée'!$A$3=1,N59&gt;0),ABS(N59),0)</f>
        <v>0</v>
      </c>
      <c r="W59" s="25">
        <f>IF(OR('Men''s Epée'!$A$3=1,O59&gt;0),ABS(O59),0)</f>
        <v>0</v>
      </c>
      <c r="X59" s="25">
        <f>IF(OR('Men''s Epée'!$A$3=1,P59&gt;0),ABS(P59),0)</f>
        <v>0</v>
      </c>
      <c r="Y59" s="25">
        <f>IF(OR('Men''s Epée'!$A$3=1,Q59&gt;0),ABS(Q59),0)</f>
        <v>0</v>
      </c>
      <c r="AA59" s="12">
        <f>IF('Men''s Epée'!$S$3=TRUE,I59,0)</f>
        <v>0</v>
      </c>
      <c r="AB59" s="12">
        <f>IF('Men''s Epée'!$T$3=TRUE,K59,0)</f>
        <v>215</v>
      </c>
      <c r="AC59" s="12">
        <f>IF('Men''s Epée'!$U$3=TRUE,M59,0)</f>
        <v>0</v>
      </c>
      <c r="AD59" s="26">
        <f t="shared" si="30"/>
        <v>0</v>
      </c>
      <c r="AE59" s="26">
        <f t="shared" si="31"/>
        <v>0</v>
      </c>
      <c r="AF59" s="26">
        <f t="shared" si="32"/>
        <v>0</v>
      </c>
      <c r="AG59" s="26">
        <f t="shared" si="33"/>
        <v>0</v>
      </c>
      <c r="AH59" s="12">
        <f t="shared" si="34"/>
        <v>215</v>
      </c>
    </row>
    <row r="60" spans="1:34" ht="13.5">
      <c r="A60" s="16" t="str">
        <f t="shared" si="8"/>
        <v>57</v>
      </c>
      <c r="B60" s="16">
        <f t="shared" si="26"/>
      </c>
      <c r="C60" s="17" t="s">
        <v>329</v>
      </c>
      <c r="D60" s="18">
        <v>1980</v>
      </c>
      <c r="E60" s="19">
        <f>ROUND(F60+IF('Men''s Epée'!$A$3=1,G60,0)+LARGE($S60:$Y60,1)+LARGE($S60:$Y60,2),0)</f>
        <v>208</v>
      </c>
      <c r="F60" s="20"/>
      <c r="G60" s="21"/>
      <c r="H60" s="21" t="s">
        <v>5</v>
      </c>
      <c r="I60" s="22">
        <f>IF(OR('Men''s Epée'!$A$3=1,'Men''s Epée'!$S$3=TRUE),IF(OR(H60&gt;=49,ISNUMBER(H60)=FALSE),0,VLOOKUP(H60,PointTable,I$3,TRUE)),0)</f>
        <v>0</v>
      </c>
      <c r="J60" s="21">
        <v>46.5</v>
      </c>
      <c r="K60" s="22">
        <f>IF(OR('Men''s Epée'!$A$3=1,'Men''s Epée'!$T$3=TRUE),IF(OR(J60&gt;=49,ISNUMBER(J60)=FALSE),0,VLOOKUP(J60,PointTable,K$3,TRUE)),0)</f>
        <v>207.5</v>
      </c>
      <c r="L60" s="21" t="s">
        <v>5</v>
      </c>
      <c r="M60" s="22">
        <f>IF(OR('Men''s Epée'!$A$3=1,'Men''s Epée'!$U$3=TRUE),IF(OR(L60&gt;=49,ISNUMBER(L60)=FALSE),0,VLOOKUP(L60,PointTable,M$3,TRUE)),0)</f>
        <v>0</v>
      </c>
      <c r="N60" s="23"/>
      <c r="O60" s="23"/>
      <c r="P60" s="23"/>
      <c r="Q60" s="24"/>
      <c r="S60" s="25">
        <f t="shared" si="27"/>
        <v>0</v>
      </c>
      <c r="T60" s="25">
        <f t="shared" si="28"/>
        <v>207.5</v>
      </c>
      <c r="U60" s="25">
        <f t="shared" si="29"/>
        <v>0</v>
      </c>
      <c r="V60" s="25">
        <f>IF(OR('Men''s Epée'!$A$3=1,N60&gt;0),ABS(N60),0)</f>
        <v>0</v>
      </c>
      <c r="W60" s="25">
        <f>IF(OR('Men''s Epée'!$A$3=1,O60&gt;0),ABS(O60),0)</f>
        <v>0</v>
      </c>
      <c r="X60" s="25">
        <f>IF(OR('Men''s Epée'!$A$3=1,P60&gt;0),ABS(P60),0)</f>
        <v>0</v>
      </c>
      <c r="Y60" s="25">
        <f>IF(OR('Men''s Epée'!$A$3=1,Q60&gt;0),ABS(Q60),0)</f>
        <v>0</v>
      </c>
      <c r="AA60" s="12">
        <f>IF('Men''s Epée'!$S$3=TRUE,I60,0)</f>
        <v>0</v>
      </c>
      <c r="AB60" s="12">
        <f>IF('Men''s Epée'!$T$3=TRUE,K60,0)</f>
        <v>207.5</v>
      </c>
      <c r="AC60" s="12">
        <f>IF('Men''s Epée'!$U$3=TRUE,M60,0)</f>
        <v>0</v>
      </c>
      <c r="AD60" s="26">
        <f t="shared" si="30"/>
        <v>0</v>
      </c>
      <c r="AE60" s="26">
        <f t="shared" si="31"/>
        <v>0</v>
      </c>
      <c r="AF60" s="26">
        <f t="shared" si="32"/>
        <v>0</v>
      </c>
      <c r="AG60" s="26">
        <f t="shared" si="33"/>
        <v>0</v>
      </c>
      <c r="AH60" s="12">
        <f t="shared" si="34"/>
        <v>207.5</v>
      </c>
    </row>
    <row r="61" spans="1:34" ht="13.5">
      <c r="A61" s="16" t="str">
        <f t="shared" si="8"/>
        <v>58</v>
      </c>
      <c r="B61" s="16">
        <f t="shared" si="26"/>
      </c>
      <c r="C61" s="17" t="s">
        <v>278</v>
      </c>
      <c r="D61" s="18">
        <v>1982</v>
      </c>
      <c r="E61" s="19">
        <f>ROUND(F61+IF('Men''s Epée'!$A$3=1,G61,0)+LARGE($S61:$Y61,1)+LARGE($S61:$Y61,2),0)</f>
        <v>205</v>
      </c>
      <c r="F61" s="20"/>
      <c r="G61" s="21"/>
      <c r="H61" s="21">
        <v>47</v>
      </c>
      <c r="I61" s="22">
        <f>IF(OR('Men''s Epée'!$A$3=1,'Men''s Epée'!$S$3=TRUE),IF(OR(H61&gt;=49,ISNUMBER(H61)=FALSE),0,VLOOKUP(H61,PointTable,I$3,TRUE)),0)</f>
        <v>205</v>
      </c>
      <c r="J61" s="21" t="s">
        <v>5</v>
      </c>
      <c r="K61" s="22">
        <f>IF(OR('Men''s Epée'!$A$3=1,'Men''s Epée'!$T$3=TRUE),IF(OR(J61&gt;=49,ISNUMBER(J61)=FALSE),0,VLOOKUP(J61,PointTable,K$3,TRUE)),0)</f>
        <v>0</v>
      </c>
      <c r="L61" s="21" t="s">
        <v>5</v>
      </c>
      <c r="M61" s="22">
        <f>IF(OR('Men''s Epée'!$A$3=1,'Men''s Epée'!$U$3=TRUE),IF(OR(L61&gt;=49,ISNUMBER(L61)=FALSE),0,VLOOKUP(L61,PointTable,M$3,TRUE)),0)</f>
        <v>0</v>
      </c>
      <c r="N61" s="23"/>
      <c r="O61" s="23"/>
      <c r="P61" s="23"/>
      <c r="Q61" s="24"/>
      <c r="S61" s="25">
        <f t="shared" si="27"/>
        <v>205</v>
      </c>
      <c r="T61" s="25">
        <f t="shared" si="28"/>
        <v>0</v>
      </c>
      <c r="U61" s="25">
        <f t="shared" si="29"/>
        <v>0</v>
      </c>
      <c r="V61" s="25">
        <f>IF(OR('Men''s Epée'!$A$3=1,N61&gt;0),ABS(N61),0)</f>
        <v>0</v>
      </c>
      <c r="W61" s="25">
        <f>IF(OR('Men''s Epée'!$A$3=1,O61&gt;0),ABS(O61),0)</f>
        <v>0</v>
      </c>
      <c r="X61" s="25">
        <f>IF(OR('Men''s Epée'!$A$3=1,P61&gt;0),ABS(P61),0)</f>
        <v>0</v>
      </c>
      <c r="Y61" s="25">
        <f>IF(OR('Men''s Epée'!$A$3=1,Q61&gt;0),ABS(Q61),0)</f>
        <v>0</v>
      </c>
      <c r="AA61" s="12">
        <f>IF('Men''s Epée'!$S$3=TRUE,I61,0)</f>
        <v>205</v>
      </c>
      <c r="AB61" s="12">
        <f>IF('Men''s Epée'!$T$3=TRUE,K61,0)</f>
        <v>0</v>
      </c>
      <c r="AC61" s="12">
        <f>IF('Men''s Epée'!$U$3=TRUE,M61,0)</f>
        <v>0</v>
      </c>
      <c r="AD61" s="26">
        <f t="shared" si="30"/>
        <v>0</v>
      </c>
      <c r="AE61" s="26">
        <f t="shared" si="31"/>
        <v>0</v>
      </c>
      <c r="AF61" s="26">
        <f t="shared" si="32"/>
        <v>0</v>
      </c>
      <c r="AG61" s="26">
        <f t="shared" si="33"/>
        <v>0</v>
      </c>
      <c r="AH61" s="12">
        <f t="shared" si="34"/>
        <v>205</v>
      </c>
    </row>
    <row r="62" spans="12:34" ht="13.5">
      <c r="L62"/>
      <c r="AA62" s="12"/>
      <c r="AB62" s="12"/>
      <c r="AC62" s="12"/>
      <c r="AD62" s="12"/>
      <c r="AE62" s="12"/>
      <c r="AF62" s="12"/>
      <c r="AG62" s="12"/>
      <c r="AH62" s="12"/>
    </row>
    <row r="63" spans="3:34" ht="13.5">
      <c r="C63" s="30" t="s">
        <v>18</v>
      </c>
      <c r="F63" s="25"/>
      <c r="G63" s="25"/>
      <c r="H63" s="25"/>
      <c r="I63" s="25"/>
      <c r="L63" s="31" t="s">
        <v>19</v>
      </c>
      <c r="M63" s="31" t="s">
        <v>20</v>
      </c>
      <c r="N63"/>
      <c r="AA63" s="12"/>
      <c r="AB63" s="12"/>
      <c r="AC63" s="12"/>
      <c r="AD63" s="12"/>
      <c r="AE63" s="12"/>
      <c r="AF63" s="12"/>
      <c r="AG63" s="12"/>
      <c r="AH63" s="12"/>
    </row>
    <row r="64" spans="3:34" ht="13.5">
      <c r="C64" s="17" t="s">
        <v>185</v>
      </c>
      <c r="D64" s="32" t="s">
        <v>427</v>
      </c>
      <c r="L64" s="32">
        <v>29</v>
      </c>
      <c r="M64" s="33">
        <v>278.222</v>
      </c>
      <c r="N64" s="34"/>
      <c r="AA64" s="12"/>
      <c r="AB64" s="12"/>
      <c r="AC64" s="12"/>
      <c r="AD64" s="12"/>
      <c r="AE64" s="12"/>
      <c r="AF64" s="12"/>
      <c r="AG64" s="12"/>
      <c r="AH64" s="12"/>
    </row>
    <row r="65" spans="3:34" ht="13.5">
      <c r="C65" s="37" t="s">
        <v>235</v>
      </c>
      <c r="D65" s="32" t="s">
        <v>427</v>
      </c>
      <c r="L65" s="32">
        <v>13</v>
      </c>
      <c r="M65" s="33">
        <v>514.794</v>
      </c>
      <c r="N65" s="34"/>
      <c r="AA65" s="12"/>
      <c r="AB65" s="12"/>
      <c r="AC65" s="12"/>
      <c r="AD65" s="12"/>
      <c r="AE65" s="12"/>
      <c r="AF65" s="12"/>
      <c r="AG65" s="12"/>
      <c r="AH65" s="12"/>
    </row>
    <row r="66" spans="3:34" ht="13.5">
      <c r="C66" s="17" t="s">
        <v>58</v>
      </c>
      <c r="D66" s="32" t="s">
        <v>427</v>
      </c>
      <c r="L66" s="32">
        <v>32</v>
      </c>
      <c r="M66" s="33">
        <v>268.226</v>
      </c>
      <c r="N66" s="34"/>
      <c r="AA66" s="12"/>
      <c r="AB66" s="12"/>
      <c r="AC66" s="12"/>
      <c r="AD66" s="12"/>
      <c r="AE66" s="12"/>
      <c r="AF66" s="12"/>
      <c r="AG66" s="12"/>
      <c r="AH66" s="12"/>
    </row>
    <row r="67" spans="3:34" ht="13.5">
      <c r="C67" s="17" t="s">
        <v>53</v>
      </c>
      <c r="D67" s="32" t="s">
        <v>425</v>
      </c>
      <c r="L67" s="32">
        <v>36</v>
      </c>
      <c r="M67" s="33">
        <v>296</v>
      </c>
      <c r="N67" s="34"/>
      <c r="AA67" s="12"/>
      <c r="AB67" s="12"/>
      <c r="AC67" s="12"/>
      <c r="AD67" s="12"/>
      <c r="AE67" s="12"/>
      <c r="AF67" s="12"/>
      <c r="AG67" s="12"/>
      <c r="AH67" s="12"/>
    </row>
    <row r="68" spans="14:34" ht="13.5">
      <c r="N68" s="28"/>
      <c r="AA68" s="12"/>
      <c r="AB68" s="12"/>
      <c r="AC68" s="12"/>
      <c r="AD68" s="12"/>
      <c r="AE68" s="12"/>
      <c r="AF68" s="12"/>
      <c r="AG68" s="12"/>
      <c r="AH68" s="12"/>
    </row>
    <row r="69" spans="3:34" ht="13.5">
      <c r="C69" s="30" t="s">
        <v>21</v>
      </c>
      <c r="F69" s="25"/>
      <c r="G69" s="25"/>
      <c r="H69" s="25"/>
      <c r="I69" s="25"/>
      <c r="L69" s="31" t="s">
        <v>19</v>
      </c>
      <c r="M69" s="31" t="s">
        <v>20</v>
      </c>
      <c r="N69" s="34"/>
      <c r="AA69" s="12"/>
      <c r="AB69" s="12"/>
      <c r="AC69" s="12"/>
      <c r="AD69" s="12"/>
      <c r="AE69" s="12"/>
      <c r="AF69" s="12"/>
      <c r="AG69" s="12"/>
      <c r="AH69" s="12"/>
    </row>
    <row r="70" spans="3:34" ht="13.5">
      <c r="C70" s="17" t="s">
        <v>195</v>
      </c>
      <c r="D70" s="18" t="s">
        <v>378</v>
      </c>
      <c r="F70" s="25"/>
      <c r="G70" s="25"/>
      <c r="I70" s="25"/>
      <c r="K70" s="25"/>
      <c r="L70" s="32">
        <v>32</v>
      </c>
      <c r="M70" s="33">
        <v>562.856</v>
      </c>
      <c r="N70" s="34"/>
      <c r="AA70" s="12"/>
      <c r="AB70" s="12"/>
      <c r="AC70" s="12"/>
      <c r="AD70" s="12"/>
      <c r="AE70" s="12"/>
      <c r="AF70" s="12"/>
      <c r="AG70" s="12"/>
      <c r="AH70" s="12"/>
    </row>
    <row r="71" spans="3:34" ht="13.5">
      <c r="C71" s="17" t="s">
        <v>52</v>
      </c>
      <c r="D71" s="18" t="s">
        <v>363</v>
      </c>
      <c r="F71" s="25"/>
      <c r="G71" s="25"/>
      <c r="I71" s="25"/>
      <c r="K71" s="25"/>
      <c r="L71" s="32">
        <v>64</v>
      </c>
      <c r="M71" s="18">
        <v>72</v>
      </c>
      <c r="N71" s="34"/>
      <c r="AA71" s="12"/>
      <c r="AB71" s="12"/>
      <c r="AC71" s="12"/>
      <c r="AD71" s="12"/>
      <c r="AE71" s="12"/>
      <c r="AF71" s="12"/>
      <c r="AG71" s="12"/>
      <c r="AH71" s="12"/>
    </row>
    <row r="72" spans="3:34" ht="13.5">
      <c r="C72" s="17" t="s">
        <v>52</v>
      </c>
      <c r="D72" s="18" t="s">
        <v>369</v>
      </c>
      <c r="F72" s="25"/>
      <c r="G72" s="25"/>
      <c r="I72" s="25"/>
      <c r="K72" s="25"/>
      <c r="L72" s="32">
        <v>27</v>
      </c>
      <c r="M72" s="33">
        <v>354.99600000000004</v>
      </c>
      <c r="N72" s="34"/>
      <c r="AA72" s="12"/>
      <c r="AB72" s="12"/>
      <c r="AC72" s="12"/>
      <c r="AD72" s="12"/>
      <c r="AE72" s="12"/>
      <c r="AF72" s="12"/>
      <c r="AG72" s="12"/>
      <c r="AH72" s="12"/>
    </row>
    <row r="73" spans="3:34" ht="13.5">
      <c r="C73" s="17" t="s">
        <v>52</v>
      </c>
      <c r="D73" s="18" t="s">
        <v>403</v>
      </c>
      <c r="F73" s="25"/>
      <c r="G73" s="25"/>
      <c r="I73" s="25"/>
      <c r="K73" s="25"/>
      <c r="L73" s="32">
        <v>31</v>
      </c>
      <c r="M73" s="33">
        <v>458.356</v>
      </c>
      <c r="N73" s="34"/>
      <c r="AA73" s="12"/>
      <c r="AB73" s="12"/>
      <c r="AC73" s="12"/>
      <c r="AD73" s="12"/>
      <c r="AE73" s="12"/>
      <c r="AF73" s="12"/>
      <c r="AG73" s="12"/>
      <c r="AH73" s="12"/>
    </row>
    <row r="74" spans="3:34" ht="13.5">
      <c r="C74" s="17" t="s">
        <v>56</v>
      </c>
      <c r="D74" s="18" t="s">
        <v>402</v>
      </c>
      <c r="F74" s="25"/>
      <c r="G74" s="25"/>
      <c r="I74" s="25"/>
      <c r="K74" s="25"/>
      <c r="L74" s="32">
        <v>23</v>
      </c>
      <c r="M74" s="18">
        <v>768</v>
      </c>
      <c r="N74" s="34"/>
      <c r="AA74" s="12"/>
      <c r="AB74" s="12"/>
      <c r="AC74" s="12"/>
      <c r="AD74" s="12"/>
      <c r="AE74" s="12"/>
      <c r="AF74" s="12"/>
      <c r="AG74" s="12"/>
      <c r="AH74" s="12"/>
    </row>
    <row r="75" spans="3:34" ht="13.5">
      <c r="C75" s="37" t="s">
        <v>141</v>
      </c>
      <c r="D75" s="18" t="s">
        <v>369</v>
      </c>
      <c r="F75" s="25"/>
      <c r="G75" s="25"/>
      <c r="I75" s="25"/>
      <c r="K75" s="25"/>
      <c r="L75" s="32">
        <v>16</v>
      </c>
      <c r="M75" s="33">
        <v>622.8</v>
      </c>
      <c r="N75" s="34"/>
      <c r="AA75" s="12"/>
      <c r="AB75" s="12"/>
      <c r="AC75" s="12"/>
      <c r="AD75" s="12"/>
      <c r="AE75" s="12"/>
      <c r="AF75" s="12"/>
      <c r="AG75" s="12"/>
      <c r="AH75" s="12"/>
    </row>
    <row r="76" spans="3:14" ht="12.75">
      <c r="C76" s="17" t="s">
        <v>53</v>
      </c>
      <c r="D76" s="18" t="s">
        <v>402</v>
      </c>
      <c r="F76" s="25"/>
      <c r="G76" s="25"/>
      <c r="I76" s="25"/>
      <c r="K76" s="25"/>
      <c r="L76" s="32">
        <v>47</v>
      </c>
      <c r="M76" s="18">
        <v>208</v>
      </c>
      <c r="N76" s="34"/>
    </row>
  </sheetData>
  <printOptions horizontalCentered="1"/>
  <pageMargins left="0.25" right="0.25" top="0.95" bottom="0.95" header="0.25" footer="0.25"/>
  <pageSetup horizontalDpi="300" verticalDpi="300" orientation="landscape" r:id="rId1"/>
  <headerFooter alignWithMargins="0">
    <oddHeader>&amp;C&amp;"Times New Roman,Bold"&amp;16 2001-2002 USFA Point Standings
Senior &amp;A - Rolling Standings</oddHeader>
    <oddFooter>&amp;L&amp;"Arial,Bold"* Permanent Resident
# Junior&amp;"Arial,Regular"
Total = Best 3 plus Group II&amp;CPage &amp;P&amp;R&amp;"Arial,Bold"np = Did not earn points (including not competing)&amp;"Arial,Regular"
Printed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H74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8" customWidth="1"/>
    <col min="2" max="2" width="3.28125" style="18" customWidth="1"/>
    <col min="3" max="3" width="27.421875" style="37" customWidth="1"/>
    <col min="4" max="4" width="5.421875" style="18" customWidth="1"/>
    <col min="5" max="5" width="8.00390625" style="18" customWidth="1"/>
    <col min="6" max="7" width="5.7109375" style="19" customWidth="1"/>
    <col min="8" max="8" width="5.421875" style="19" customWidth="1"/>
    <col min="9" max="13" width="5.421875" style="28" customWidth="1"/>
    <col min="14" max="17" width="5.28125" style="29" customWidth="1"/>
    <col min="18" max="18" width="9.140625" style="25" customWidth="1"/>
    <col min="19" max="34" width="9.140625" style="25" hidden="1" customWidth="1"/>
    <col min="35" max="16384" width="9.140625" style="25" customWidth="1"/>
  </cols>
  <sheetData>
    <row r="1" spans="1:17" s="8" customFormat="1" ht="12.75" customHeight="1">
      <c r="A1" s="35"/>
      <c r="B1" s="1"/>
      <c r="C1" s="2" t="s">
        <v>0</v>
      </c>
      <c r="D1" s="3" t="s">
        <v>1</v>
      </c>
      <c r="E1" s="3" t="s">
        <v>2</v>
      </c>
      <c r="F1" s="4" t="s">
        <v>3</v>
      </c>
      <c r="G1" s="5"/>
      <c r="H1" s="4" t="s">
        <v>245</v>
      </c>
      <c r="I1" s="6"/>
      <c r="J1" s="4" t="s">
        <v>310</v>
      </c>
      <c r="K1" s="6"/>
      <c r="L1" s="4" t="s">
        <v>382</v>
      </c>
      <c r="M1" s="6"/>
      <c r="N1" s="7" t="s">
        <v>4</v>
      </c>
      <c r="O1" s="7"/>
      <c r="P1" s="7"/>
      <c r="Q1" s="6"/>
    </row>
    <row r="2" spans="1:27" s="8" customFormat="1" ht="18.75" customHeight="1">
      <c r="A2" s="1"/>
      <c r="B2" s="1"/>
      <c r="C2" s="2"/>
      <c r="D2" s="2"/>
      <c r="E2" s="3"/>
      <c r="F2" s="4" t="s">
        <v>376</v>
      </c>
      <c r="G2" s="9" t="s">
        <v>377</v>
      </c>
      <c r="H2" s="4" t="s">
        <v>236</v>
      </c>
      <c r="I2" s="6" t="s">
        <v>246</v>
      </c>
      <c r="J2" s="4" t="s">
        <v>236</v>
      </c>
      <c r="K2" s="6" t="s">
        <v>311</v>
      </c>
      <c r="L2" s="4" t="s">
        <v>381</v>
      </c>
      <c r="M2" s="6" t="s">
        <v>383</v>
      </c>
      <c r="N2" s="4" t="s">
        <v>4</v>
      </c>
      <c r="O2" s="7"/>
      <c r="P2" s="10"/>
      <c r="Q2" s="11"/>
      <c r="AA2" s="12"/>
    </row>
    <row r="3" spans="1:17" s="8" customFormat="1" ht="11.25" customHeight="1" hidden="1">
      <c r="A3" s="1"/>
      <c r="B3" s="1"/>
      <c r="C3" s="2"/>
      <c r="D3" s="2"/>
      <c r="E3" s="2"/>
      <c r="F3" s="13"/>
      <c r="G3" s="14"/>
      <c r="H3" s="14">
        <f>COLUMN()</f>
        <v>8</v>
      </c>
      <c r="I3" s="15">
        <f>HLOOKUP(H2,PointTableHeader,2,FALSE)</f>
        <v>9</v>
      </c>
      <c r="J3" s="14">
        <f>COLUMN()</f>
        <v>10</v>
      </c>
      <c r="K3" s="15">
        <f>HLOOKUP(J2,PointTableHeader,2,FALSE)</f>
        <v>9</v>
      </c>
      <c r="L3" s="14">
        <f>COLUMN()</f>
        <v>12</v>
      </c>
      <c r="M3" s="15">
        <f>HLOOKUP(L2,PointTableHeader,2,FALSE)</f>
        <v>8</v>
      </c>
      <c r="N3" s="14">
        <f>COLUMN()</f>
        <v>14</v>
      </c>
      <c r="O3" s="3"/>
      <c r="P3" s="3"/>
      <c r="Q3" s="15"/>
    </row>
    <row r="4" spans="1:34" ht="13.5">
      <c r="A4" s="16" t="str">
        <f aca="true" t="shared" si="0" ref="A4:A58">IF(E4&lt;MinimumSr,"",IF(E4=E3,A3,ROW()-3&amp;IF(E4=E5,"T","")))</f>
        <v>1</v>
      </c>
      <c r="B4" s="16" t="str">
        <f aca="true" t="shared" si="1" ref="B4:B10">TRIM(IF(D4&gt;=JuniorCutoff,"#",""))</f>
        <v>#</v>
      </c>
      <c r="C4" s="17" t="s">
        <v>116</v>
      </c>
      <c r="D4" s="18">
        <v>1986</v>
      </c>
      <c r="E4" s="19">
        <f>ROUND(F4+IF('Men''s Epée'!$A$3=1,G4,0)+LARGE($S4:$Y4,1)+LARGE($S4:$Y4,2),0)</f>
        <v>3141</v>
      </c>
      <c r="F4" s="20">
        <f>676+620</f>
        <v>1296</v>
      </c>
      <c r="G4" s="21"/>
      <c r="H4" s="21">
        <v>2</v>
      </c>
      <c r="I4" s="22">
        <f>IF(OR('Men''s Epée'!$A$3=1,'Men''s Epée'!$S$3=TRUE),IF(OR(H4&gt;=49,ISNUMBER(H4)=FALSE),0,VLOOKUP(H4,PointTable,I$3,TRUE)),0)</f>
        <v>925</v>
      </c>
      <c r="J4" s="21">
        <v>7</v>
      </c>
      <c r="K4" s="22">
        <f>IF(OR('Men''s Epée'!$A$3=1,'Men''s Epée'!$T$3=TRUE),IF(OR(J4&gt;=49,ISNUMBER(J4)=FALSE),0,VLOOKUP(J4,PointTable,K$3,TRUE)),0)</f>
        <v>715</v>
      </c>
      <c r="L4" s="21">
        <v>2</v>
      </c>
      <c r="M4" s="22">
        <f>IF(OR('Men''s Epée'!$A$3=1,'Men''s Epée'!$U$3=TRUE),IF(OR(L4&gt;=49,ISNUMBER(L4)=FALSE),0,VLOOKUP(L4,PointTable,M$3,TRUE)),0)</f>
        <v>920</v>
      </c>
      <c r="N4" s="23"/>
      <c r="O4" s="23"/>
      <c r="P4" s="23"/>
      <c r="Q4" s="24"/>
      <c r="S4" s="25">
        <f aca="true" t="shared" si="2" ref="S4:S17">I4</f>
        <v>925</v>
      </c>
      <c r="T4" s="25">
        <f aca="true" t="shared" si="3" ref="T4:T17">K4</f>
        <v>715</v>
      </c>
      <c r="U4" s="25">
        <f aca="true" t="shared" si="4" ref="U4:U17">M4</f>
        <v>920</v>
      </c>
      <c r="V4" s="25">
        <f>IF(OR('Men''s Epée'!$A$3=1,N4&gt;0),ABS(N4),0)</f>
        <v>0</v>
      </c>
      <c r="W4" s="25">
        <f>IF(OR('Men''s Epée'!$A$3=1,O4&gt;0),ABS(O4),0)</f>
        <v>0</v>
      </c>
      <c r="X4" s="25">
        <f>IF(OR('Men''s Epée'!$A$3=1,P4&gt;0),ABS(P4),0)</f>
        <v>0</v>
      </c>
      <c r="Y4" s="25">
        <f>IF(OR('Men''s Epée'!$A$3=1,Q4&gt;0),ABS(Q4),0)</f>
        <v>0</v>
      </c>
      <c r="AA4" s="12">
        <f>IF('Men''s Epée'!$S$3=TRUE,I4,0)</f>
        <v>925</v>
      </c>
      <c r="AB4" s="12">
        <f>IF('Men''s Epée'!$T$3=TRUE,K4,0)</f>
        <v>715</v>
      </c>
      <c r="AC4" s="12">
        <f>IF('Men''s Epée'!$U$3=TRUE,M4,0)</f>
        <v>920</v>
      </c>
      <c r="AD4" s="26">
        <f aca="true" t="shared" si="5" ref="AD4:AD17">MAX(N4,0)</f>
        <v>0</v>
      </c>
      <c r="AE4" s="26">
        <f aca="true" t="shared" si="6" ref="AE4:AE17">MAX(O4,0)</f>
        <v>0</v>
      </c>
      <c r="AF4" s="26">
        <f aca="true" t="shared" si="7" ref="AF4:AF17">MAX(P4,0)</f>
        <v>0</v>
      </c>
      <c r="AG4" s="26">
        <f aca="true" t="shared" si="8" ref="AG4:AG17">MAX(Q4,0)</f>
        <v>0</v>
      </c>
      <c r="AH4" s="12">
        <f>ROUND(LARGE(AA4:AG4,1)+LARGE(AA4:AG4,2)+F4,0)</f>
        <v>3141</v>
      </c>
    </row>
    <row r="5" spans="1:34" ht="13.5">
      <c r="A5" s="16" t="str">
        <f t="shared" si="0"/>
        <v>2</v>
      </c>
      <c r="B5" s="16">
        <f t="shared" si="1"/>
      </c>
      <c r="C5" s="17" t="s">
        <v>67</v>
      </c>
      <c r="D5" s="18">
        <v>1981</v>
      </c>
      <c r="E5" s="19">
        <f>ROUND(F5+IF('Men''s Epée'!$A$3=1,G5,0)+LARGE($S5:$Y5,1)+LARGE($S5:$Y5,2),0)</f>
        <v>2784</v>
      </c>
      <c r="F5" s="20">
        <f>264+670</f>
        <v>934</v>
      </c>
      <c r="G5" s="21"/>
      <c r="H5" s="21">
        <v>1</v>
      </c>
      <c r="I5" s="22">
        <f>IF(OR('Men''s Epée'!$A$3=1,'Men''s Epée'!$S$3=TRUE),IF(OR(H5&gt;=49,ISNUMBER(H5)=FALSE),0,VLOOKUP(H5,PointTable,I$3,TRUE)),0)</f>
        <v>1000</v>
      </c>
      <c r="J5" s="21" t="s">
        <v>5</v>
      </c>
      <c r="K5" s="22">
        <f>IF(OR('Men''s Epée'!$A$3=1,'Men''s Epée'!$T$3=TRUE),IF(OR(J5&gt;=49,ISNUMBER(J5)=FALSE),0,VLOOKUP(J5,PointTable,K$3,TRUE)),0)</f>
        <v>0</v>
      </c>
      <c r="L5" s="21">
        <v>3</v>
      </c>
      <c r="M5" s="22">
        <f>IF(OR('Men''s Epée'!$A$3=1,'Men''s Epée'!$U$3=TRUE),IF(OR(L5&gt;=49,ISNUMBER(L5)=FALSE),0,VLOOKUP(L5,PointTable,M$3,TRUE)),0)</f>
        <v>850</v>
      </c>
      <c r="N5" s="23"/>
      <c r="O5" s="23"/>
      <c r="P5" s="23"/>
      <c r="Q5" s="24"/>
      <c r="S5" s="25">
        <f t="shared" si="2"/>
        <v>1000</v>
      </c>
      <c r="T5" s="25">
        <f t="shared" si="3"/>
        <v>0</v>
      </c>
      <c r="U5" s="25">
        <f t="shared" si="4"/>
        <v>850</v>
      </c>
      <c r="V5" s="25">
        <f>IF(OR('Men''s Epée'!$A$3=1,N5&gt;0),ABS(N5),0)</f>
        <v>0</v>
      </c>
      <c r="W5" s="25">
        <f>IF(OR('Men''s Epée'!$A$3=1,O5&gt;0),ABS(O5),0)</f>
        <v>0</v>
      </c>
      <c r="X5" s="25">
        <f>IF(OR('Men''s Epée'!$A$3=1,P5&gt;0),ABS(P5),0)</f>
        <v>0</v>
      </c>
      <c r="Y5" s="25">
        <f>IF(OR('Men''s Epée'!$A$3=1,Q5&gt;0),ABS(Q5),0)</f>
        <v>0</v>
      </c>
      <c r="AA5" s="12">
        <f>IF('Men''s Epée'!$S$3=TRUE,I5,0)</f>
        <v>1000</v>
      </c>
      <c r="AB5" s="12">
        <f>IF('Men''s Epée'!$T$3=TRUE,K5,0)</f>
        <v>0</v>
      </c>
      <c r="AC5" s="12">
        <f>IF('Men''s Epée'!$U$3=TRUE,M5,0)</f>
        <v>850</v>
      </c>
      <c r="AD5" s="26">
        <f t="shared" si="5"/>
        <v>0</v>
      </c>
      <c r="AE5" s="26">
        <f t="shared" si="6"/>
        <v>0</v>
      </c>
      <c r="AF5" s="26">
        <f t="shared" si="7"/>
        <v>0</v>
      </c>
      <c r="AG5" s="26">
        <f t="shared" si="8"/>
        <v>0</v>
      </c>
      <c r="AH5" s="12">
        <f aca="true" t="shared" si="9" ref="AH5:AH47">ROUND(LARGE(AA5:AG5,1)+LARGE(AA5:AG5,2)+F5,0)</f>
        <v>2784</v>
      </c>
    </row>
    <row r="6" spans="1:34" ht="13.5">
      <c r="A6" s="16" t="str">
        <f>IF(E6&lt;MinimumSr,"",IF(E6=E5,A5,ROW()-3&amp;IF(E6=E7,"T","")))</f>
        <v>3</v>
      </c>
      <c r="B6" s="16">
        <f t="shared" si="1"/>
      </c>
      <c r="C6" s="17" t="s">
        <v>66</v>
      </c>
      <c r="D6" s="18">
        <v>1980</v>
      </c>
      <c r="E6" s="19">
        <f>ROUND(F6+IF('Men''s Epée'!$A$3=1,G6,0)+LARGE($S6:$Y6,1)+LARGE($S6:$Y6,2),0)</f>
        <v>2324</v>
      </c>
      <c r="F6" s="20">
        <v>260</v>
      </c>
      <c r="G6" s="21"/>
      <c r="H6" s="21" t="s">
        <v>5</v>
      </c>
      <c r="I6" s="22">
        <f>IF(OR('Men''s Epée'!$A$3=1,'Men''s Epée'!$S$3=TRUE),IF(OR(H6&gt;=49,ISNUMBER(H6)=FALSE),0,VLOOKUP(H6,PointTable,I$3,TRUE)),0)</f>
        <v>0</v>
      </c>
      <c r="J6" s="21">
        <v>1</v>
      </c>
      <c r="K6" s="22">
        <f>IF(OR('Men''s Epée'!$A$3=1,'Men''s Epée'!$T$3=TRUE),IF(OR(J6&gt;=49,ISNUMBER(J6)=FALSE),0,VLOOKUP(J6,PointTable,K$3,TRUE)),0)</f>
        <v>1000</v>
      </c>
      <c r="L6" s="21">
        <v>1</v>
      </c>
      <c r="M6" s="22">
        <f>IF(OR('Men''s Epée'!$A$3=1,'Men''s Epée'!$U$3=TRUE),IF(OR(L6&gt;=49,ISNUMBER(L6)=FALSE),0,VLOOKUP(L6,PointTable,M$3,TRUE)),0)</f>
        <v>1000</v>
      </c>
      <c r="N6" s="23">
        <v>1063.92</v>
      </c>
      <c r="O6" s="23">
        <v>632.94</v>
      </c>
      <c r="P6" s="23"/>
      <c r="Q6" s="24"/>
      <c r="S6" s="25">
        <f t="shared" si="2"/>
        <v>0</v>
      </c>
      <c r="T6" s="25">
        <f t="shared" si="3"/>
        <v>1000</v>
      </c>
      <c r="U6" s="25">
        <f t="shared" si="4"/>
        <v>1000</v>
      </c>
      <c r="V6" s="25">
        <f>IF(OR('Men''s Epée'!$A$3=1,N6&gt;0),ABS(N6),0)</f>
        <v>1063.92</v>
      </c>
      <c r="W6" s="25">
        <f>IF(OR('Men''s Epée'!$A$3=1,O6&gt;0),ABS(O6),0)</f>
        <v>632.94</v>
      </c>
      <c r="X6" s="25">
        <f>IF(OR('Men''s Epée'!$A$3=1,P6&gt;0),ABS(P6),0)</f>
        <v>0</v>
      </c>
      <c r="Y6" s="25">
        <f>IF(OR('Men''s Epée'!$A$3=1,Q6&gt;0),ABS(Q6),0)</f>
        <v>0</v>
      </c>
      <c r="AA6" s="12">
        <f>IF('Men''s Epée'!$S$3=TRUE,I6,0)</f>
        <v>0</v>
      </c>
      <c r="AB6" s="12">
        <f>IF('Men''s Epée'!$T$3=TRUE,K6,0)</f>
        <v>1000</v>
      </c>
      <c r="AC6" s="12">
        <f>IF('Men''s Epée'!$U$3=TRUE,M6,0)</f>
        <v>1000</v>
      </c>
      <c r="AD6" s="26">
        <f t="shared" si="5"/>
        <v>1063.92</v>
      </c>
      <c r="AE6" s="26">
        <f t="shared" si="6"/>
        <v>632.94</v>
      </c>
      <c r="AF6" s="26">
        <f t="shared" si="7"/>
        <v>0</v>
      </c>
      <c r="AG6" s="26">
        <f t="shared" si="8"/>
        <v>0</v>
      </c>
      <c r="AH6" s="12">
        <f t="shared" si="9"/>
        <v>2324</v>
      </c>
    </row>
    <row r="7" spans="1:34" ht="13.5">
      <c r="A7" s="16" t="str">
        <f t="shared" si="0"/>
        <v>4</v>
      </c>
      <c r="B7" s="16" t="str">
        <f t="shared" si="1"/>
        <v>#</v>
      </c>
      <c r="C7" s="17" t="s">
        <v>76</v>
      </c>
      <c r="D7" s="18">
        <v>1983</v>
      </c>
      <c r="E7" s="19">
        <f>ROUND(F7+IF('Men''s Epée'!$A$3=1,G7,0)+LARGE($S7:$Y7,1)+LARGE($S7:$Y7,2),0)</f>
        <v>1630</v>
      </c>
      <c r="F7" s="20">
        <v>260</v>
      </c>
      <c r="G7" s="21"/>
      <c r="H7" s="21">
        <v>13</v>
      </c>
      <c r="I7" s="22">
        <f>IF(OR('Men''s Epée'!$A$3=1,'Men''s Epée'!$S$3=TRUE),IF(OR(H7&gt;=49,ISNUMBER(H7)=FALSE),0,VLOOKUP(H7,PointTable,I$3,TRUE)),0)</f>
        <v>525</v>
      </c>
      <c r="J7" s="21">
        <v>3</v>
      </c>
      <c r="K7" s="22">
        <f>IF(OR('Men''s Epée'!$A$3=1,'Men''s Epée'!$T$3=TRUE),IF(OR(J7&gt;=49,ISNUMBER(J7)=FALSE),0,VLOOKUP(J7,PointTable,K$3,TRUE)),0)</f>
        <v>840</v>
      </c>
      <c r="L7" s="21">
        <v>10</v>
      </c>
      <c r="M7" s="22">
        <f>IF(OR('Men''s Epée'!$A$3=1,'Men''s Epée'!$U$3=TRUE),IF(OR(L7&gt;=49,ISNUMBER(L7)=FALSE),0,VLOOKUP(L7,PointTable,M$3,TRUE)),0)</f>
        <v>530</v>
      </c>
      <c r="N7" s="23"/>
      <c r="O7" s="23"/>
      <c r="P7" s="23"/>
      <c r="Q7" s="24"/>
      <c r="S7" s="25">
        <f t="shared" si="2"/>
        <v>525</v>
      </c>
      <c r="T7" s="25">
        <f t="shared" si="3"/>
        <v>840</v>
      </c>
      <c r="U7" s="25">
        <f t="shared" si="4"/>
        <v>530</v>
      </c>
      <c r="V7" s="25">
        <f>IF(OR('Men''s Epée'!$A$3=1,N7&gt;0),ABS(N7),0)</f>
        <v>0</v>
      </c>
      <c r="W7" s="25">
        <f>IF(OR('Men''s Epée'!$A$3=1,O7&gt;0),ABS(O7),0)</f>
        <v>0</v>
      </c>
      <c r="X7" s="25">
        <f>IF(OR('Men''s Epée'!$A$3=1,P7&gt;0),ABS(P7),0)</f>
        <v>0</v>
      </c>
      <c r="Y7" s="25">
        <f>IF(OR('Men''s Epée'!$A$3=1,Q7&gt;0),ABS(Q7),0)</f>
        <v>0</v>
      </c>
      <c r="AA7" s="12">
        <f>IF('Men''s Epée'!$S$3=TRUE,I7,0)</f>
        <v>525</v>
      </c>
      <c r="AB7" s="12">
        <f>IF('Men''s Epée'!$T$3=TRUE,K7,0)</f>
        <v>840</v>
      </c>
      <c r="AC7" s="12">
        <f>IF('Men''s Epée'!$U$3=TRUE,M7,0)</f>
        <v>530</v>
      </c>
      <c r="AD7" s="26">
        <f t="shared" si="5"/>
        <v>0</v>
      </c>
      <c r="AE7" s="26">
        <f t="shared" si="6"/>
        <v>0</v>
      </c>
      <c r="AF7" s="26">
        <f t="shared" si="7"/>
        <v>0</v>
      </c>
      <c r="AG7" s="26">
        <f t="shared" si="8"/>
        <v>0</v>
      </c>
      <c r="AH7" s="12">
        <f t="shared" si="9"/>
        <v>1630</v>
      </c>
    </row>
    <row r="8" spans="1:34" ht="13.5">
      <c r="A8" s="16" t="str">
        <f t="shared" si="0"/>
        <v>5</v>
      </c>
      <c r="B8" s="16">
        <f t="shared" si="1"/>
      </c>
      <c r="C8" s="17" t="s">
        <v>68</v>
      </c>
      <c r="D8" s="18">
        <v>1978</v>
      </c>
      <c r="E8" s="19">
        <f>ROUND(F8+IF('Men''s Epée'!$A$3=1,G8,0)+LARGE($S8:$Y8,1)+LARGE($S8:$Y8,2),0)</f>
        <v>1621</v>
      </c>
      <c r="F8" s="20">
        <v>176</v>
      </c>
      <c r="G8" s="21"/>
      <c r="H8" s="21">
        <v>5</v>
      </c>
      <c r="I8" s="22">
        <f>IF(OR('Men''s Epée'!$A$3=1,'Men''s Epée'!$S$3=TRUE),IF(OR(H8&gt;=49,ISNUMBER(H8)=FALSE),0,VLOOKUP(H8,PointTable,I$3,TRUE)),0)</f>
        <v>755</v>
      </c>
      <c r="J8" s="21">
        <v>9</v>
      </c>
      <c r="K8" s="22">
        <f>IF(OR('Men''s Epée'!$A$3=1,'Men''s Epée'!$T$3=TRUE),IF(OR(J8&gt;=49,ISNUMBER(J8)=FALSE),0,VLOOKUP(J8,PointTable,K$3,TRUE)),0)</f>
        <v>620</v>
      </c>
      <c r="L8" s="21">
        <v>7</v>
      </c>
      <c r="M8" s="22">
        <f>IF(OR('Men''s Epée'!$A$3=1,'Men''s Epée'!$U$3=TRUE),IF(OR(L8&gt;=49,ISNUMBER(L8)=FALSE),0,VLOOKUP(L8,PointTable,M$3,TRUE)),0)</f>
        <v>690</v>
      </c>
      <c r="N8" s="23"/>
      <c r="O8" s="23"/>
      <c r="P8" s="23"/>
      <c r="Q8" s="24"/>
      <c r="S8" s="25">
        <f t="shared" si="2"/>
        <v>755</v>
      </c>
      <c r="T8" s="25">
        <f t="shared" si="3"/>
        <v>620</v>
      </c>
      <c r="U8" s="25">
        <f t="shared" si="4"/>
        <v>690</v>
      </c>
      <c r="V8" s="25">
        <f>IF(OR('Men''s Epée'!$A$3=1,N8&gt;0),ABS(N8),0)</f>
        <v>0</v>
      </c>
      <c r="W8" s="25">
        <f>IF(OR('Men''s Epée'!$A$3=1,O8&gt;0),ABS(O8),0)</f>
        <v>0</v>
      </c>
      <c r="X8" s="25">
        <f>IF(OR('Men''s Epée'!$A$3=1,P8&gt;0),ABS(P8),0)</f>
        <v>0</v>
      </c>
      <c r="Y8" s="25">
        <f>IF(OR('Men''s Epée'!$A$3=1,Q8&gt;0),ABS(Q8),0)</f>
        <v>0</v>
      </c>
      <c r="AA8" s="12">
        <f>IF('Men''s Epée'!$S$3=TRUE,I8,0)</f>
        <v>755</v>
      </c>
      <c r="AB8" s="12">
        <f>IF('Men''s Epée'!$T$3=TRUE,K8,0)</f>
        <v>620</v>
      </c>
      <c r="AC8" s="12">
        <f>IF('Men''s Epée'!$U$3=TRUE,M8,0)</f>
        <v>690</v>
      </c>
      <c r="AD8" s="26">
        <f t="shared" si="5"/>
        <v>0</v>
      </c>
      <c r="AE8" s="26">
        <f t="shared" si="6"/>
        <v>0</v>
      </c>
      <c r="AF8" s="26">
        <f t="shared" si="7"/>
        <v>0</v>
      </c>
      <c r="AG8" s="26">
        <f t="shared" si="8"/>
        <v>0</v>
      </c>
      <c r="AH8" s="12">
        <f t="shared" si="9"/>
        <v>1621</v>
      </c>
    </row>
    <row r="9" spans="1:34" ht="13.5">
      <c r="A9" s="16" t="str">
        <f t="shared" si="0"/>
        <v>6</v>
      </c>
      <c r="B9" s="16">
        <f t="shared" si="1"/>
      </c>
      <c r="C9" s="17" t="s">
        <v>54</v>
      </c>
      <c r="D9" s="18">
        <v>1982</v>
      </c>
      <c r="E9" s="19">
        <f>ROUND(F9+IF('Men''s Epée'!$A$3=1,G9,0)+LARGE($S9:$Y9,1)+LARGE($S9:$Y9,2),0)</f>
        <v>1562</v>
      </c>
      <c r="F9" s="20">
        <v>72</v>
      </c>
      <c r="G9" s="21"/>
      <c r="H9" s="21">
        <v>6</v>
      </c>
      <c r="I9" s="22">
        <f>IF(OR('Men''s Epée'!$A$3=1,'Men''s Epée'!$S$3=TRUE),IF(OR(H9&gt;=49,ISNUMBER(H9)=FALSE),0,VLOOKUP(H9,PointTable,I$3,TRUE)),0)</f>
        <v>735</v>
      </c>
      <c r="J9" s="21">
        <v>5</v>
      </c>
      <c r="K9" s="22">
        <f>IF(OR('Men''s Epée'!$A$3=1,'Men''s Epée'!$T$3=TRUE),IF(OR(J9&gt;=49,ISNUMBER(J9)=FALSE),0,VLOOKUP(J9,PointTable,K$3,TRUE)),0)</f>
        <v>755</v>
      </c>
      <c r="L9" s="21">
        <v>5</v>
      </c>
      <c r="M9" s="22">
        <f>IF(OR('Men''s Epée'!$A$3=1,'Men''s Epée'!$U$3=TRUE),IF(OR(L9&gt;=49,ISNUMBER(L9)=FALSE),0,VLOOKUP(L9,PointTable,M$3,TRUE)),0)</f>
        <v>700</v>
      </c>
      <c r="N9" s="23"/>
      <c r="O9" s="23"/>
      <c r="P9" s="23"/>
      <c r="Q9" s="24"/>
      <c r="S9" s="25">
        <f t="shared" si="2"/>
        <v>735</v>
      </c>
      <c r="T9" s="25">
        <f t="shared" si="3"/>
        <v>755</v>
      </c>
      <c r="U9" s="25">
        <f t="shared" si="4"/>
        <v>700</v>
      </c>
      <c r="V9" s="25">
        <f>IF(OR('Men''s Epée'!$A$3=1,N9&gt;0),ABS(N9),0)</f>
        <v>0</v>
      </c>
      <c r="W9" s="25">
        <f>IF(OR('Men''s Epée'!$A$3=1,O9&gt;0),ABS(O9),0)</f>
        <v>0</v>
      </c>
      <c r="X9" s="25">
        <f>IF(OR('Men''s Epée'!$A$3=1,P9&gt;0),ABS(P9),0)</f>
        <v>0</v>
      </c>
      <c r="Y9" s="25">
        <f>IF(OR('Men''s Epée'!$A$3=1,Q9&gt;0),ABS(Q9),0)</f>
        <v>0</v>
      </c>
      <c r="AA9" s="12">
        <f>IF('Men''s Epée'!$S$3=TRUE,I9,0)</f>
        <v>735</v>
      </c>
      <c r="AB9" s="12">
        <f>IF('Men''s Epée'!$T$3=TRUE,K9,0)</f>
        <v>755</v>
      </c>
      <c r="AC9" s="12">
        <f>IF('Men''s Epée'!$U$3=TRUE,M9,0)</f>
        <v>700</v>
      </c>
      <c r="AD9" s="26">
        <f t="shared" si="5"/>
        <v>0</v>
      </c>
      <c r="AE9" s="26">
        <f t="shared" si="6"/>
        <v>0</v>
      </c>
      <c r="AF9" s="26">
        <f t="shared" si="7"/>
        <v>0</v>
      </c>
      <c r="AG9" s="26">
        <f t="shared" si="8"/>
        <v>0</v>
      </c>
      <c r="AH9" s="12">
        <f t="shared" si="9"/>
        <v>1562</v>
      </c>
    </row>
    <row r="10" spans="1:34" ht="13.5">
      <c r="A10" s="16" t="str">
        <f t="shared" si="0"/>
        <v>7</v>
      </c>
      <c r="B10" s="16">
        <f t="shared" si="1"/>
      </c>
      <c r="C10" s="17" t="s">
        <v>69</v>
      </c>
      <c r="D10" s="18">
        <v>1971</v>
      </c>
      <c r="E10" s="19">
        <f>ROUND(F10+IF('Men''s Epée'!$A$3=1,G10,0)+LARGE($S10:$Y10,1)+LARGE($S10:$Y10,2),0)</f>
        <v>1409</v>
      </c>
      <c r="F10" s="20">
        <v>184</v>
      </c>
      <c r="G10" s="21"/>
      <c r="H10" s="21">
        <v>7</v>
      </c>
      <c r="I10" s="22">
        <f>IF(OR('Men''s Epée'!$A$3=1,'Men''s Epée'!$S$3=TRUE),IF(OR(H10&gt;=49,ISNUMBER(H10)=FALSE),0,VLOOKUP(H10,PointTable,I$3,TRUE)),0)</f>
        <v>715</v>
      </c>
      <c r="J10" s="21" t="s">
        <v>5</v>
      </c>
      <c r="K10" s="22">
        <f>IF(OR('Men''s Epée'!$A$3=1,'Men''s Epée'!$T$3=TRUE),IF(OR(J10&gt;=49,ISNUMBER(J10)=FALSE),0,VLOOKUP(J10,PointTable,K$3,TRUE)),0)</f>
        <v>0</v>
      </c>
      <c r="L10" s="21">
        <v>14</v>
      </c>
      <c r="M10" s="22">
        <f>IF(OR('Men''s Epée'!$A$3=1,'Men''s Epée'!$U$3=TRUE),IF(OR(L10&gt;=49,ISNUMBER(L10)=FALSE),0,VLOOKUP(L10,PointTable,M$3,TRUE)),0)</f>
        <v>510</v>
      </c>
      <c r="N10" s="23"/>
      <c r="O10" s="23"/>
      <c r="P10" s="23"/>
      <c r="Q10" s="24"/>
      <c r="S10" s="25">
        <f t="shared" si="2"/>
        <v>715</v>
      </c>
      <c r="T10" s="25">
        <f t="shared" si="3"/>
        <v>0</v>
      </c>
      <c r="U10" s="25">
        <f t="shared" si="4"/>
        <v>510</v>
      </c>
      <c r="V10" s="25">
        <f>IF(OR('Men''s Epée'!$A$3=1,N10&gt;0),ABS(N10),0)</f>
        <v>0</v>
      </c>
      <c r="W10" s="25">
        <f>IF(OR('Men''s Epée'!$A$3=1,O10&gt;0),ABS(O10),0)</f>
        <v>0</v>
      </c>
      <c r="X10" s="25">
        <f>IF(OR('Men''s Epée'!$A$3=1,P10&gt;0),ABS(P10),0)</f>
        <v>0</v>
      </c>
      <c r="Y10" s="25">
        <f>IF(OR('Men''s Epée'!$A$3=1,Q10&gt;0),ABS(Q10),0)</f>
        <v>0</v>
      </c>
      <c r="AA10" s="12">
        <f>IF('Men''s Epée'!$S$3=TRUE,I10,0)</f>
        <v>715</v>
      </c>
      <c r="AB10" s="12">
        <f>IF('Men''s Epée'!$T$3=TRUE,K10,0)</f>
        <v>0</v>
      </c>
      <c r="AC10" s="12">
        <f>IF('Men''s Epée'!$U$3=TRUE,M10,0)</f>
        <v>510</v>
      </c>
      <c r="AD10" s="26">
        <f t="shared" si="5"/>
        <v>0</v>
      </c>
      <c r="AE10" s="26">
        <f t="shared" si="6"/>
        <v>0</v>
      </c>
      <c r="AF10" s="26">
        <f t="shared" si="7"/>
        <v>0</v>
      </c>
      <c r="AG10" s="26">
        <f t="shared" si="8"/>
        <v>0</v>
      </c>
      <c r="AH10" s="12">
        <f t="shared" si="9"/>
        <v>1409</v>
      </c>
    </row>
    <row r="11" spans="1:34" ht="13.5">
      <c r="A11" s="16" t="str">
        <f t="shared" si="0"/>
        <v>8</v>
      </c>
      <c r="B11" s="16" t="str">
        <f aca="true" t="shared" si="10" ref="B11:B25">TRIM(IF(D11&gt;=JuniorCutoff,"#",""))</f>
        <v>#</v>
      </c>
      <c r="C11" s="17" t="s">
        <v>82</v>
      </c>
      <c r="D11" s="18">
        <v>1985</v>
      </c>
      <c r="E11" s="19">
        <f>ROUND(F11+IF('Men''s Epée'!$A$3=1,G11,0)+LARGE($S11:$Y11,1)+LARGE($S11:$Y11,2),0)</f>
        <v>1395</v>
      </c>
      <c r="F11" s="20">
        <v>80</v>
      </c>
      <c r="G11" s="21"/>
      <c r="H11" s="21">
        <v>9</v>
      </c>
      <c r="I11" s="22">
        <f>IF(OR('Men''s Epée'!$A$3=1,'Men''s Epée'!$S$3=TRUE),IF(OR(H11&gt;=49,ISNUMBER(H11)=FALSE),0,VLOOKUP(H11,PointTable,I$3,TRUE)),0)</f>
        <v>620</v>
      </c>
      <c r="J11" s="21">
        <v>13</v>
      </c>
      <c r="K11" s="22">
        <f>IF(OR('Men''s Epée'!$A$3=1,'Men''s Epée'!$T$3=TRUE),IF(OR(J11&gt;=49,ISNUMBER(J11)=FALSE),0,VLOOKUP(J11,PointTable,K$3,TRUE)),0)</f>
        <v>525</v>
      </c>
      <c r="L11" s="21">
        <v>6</v>
      </c>
      <c r="M11" s="22">
        <f>IF(OR('Men''s Epée'!$A$3=1,'Men''s Epée'!$U$3=TRUE),IF(OR(L11&gt;=49,ISNUMBER(L11)=FALSE),0,VLOOKUP(L11,PointTable,M$3,TRUE)),0)</f>
        <v>695</v>
      </c>
      <c r="N11" s="23"/>
      <c r="O11" s="23"/>
      <c r="P11" s="23"/>
      <c r="Q11" s="24"/>
      <c r="S11" s="25">
        <f t="shared" si="2"/>
        <v>620</v>
      </c>
      <c r="T11" s="25">
        <f t="shared" si="3"/>
        <v>525</v>
      </c>
      <c r="U11" s="25">
        <f t="shared" si="4"/>
        <v>695</v>
      </c>
      <c r="V11" s="25">
        <f>IF(OR('Men''s Epée'!$A$3=1,N11&gt;0),ABS(N11),0)</f>
        <v>0</v>
      </c>
      <c r="W11" s="25">
        <f>IF(OR('Men''s Epée'!$A$3=1,O11&gt;0),ABS(O11),0)</f>
        <v>0</v>
      </c>
      <c r="X11" s="25">
        <f>IF(OR('Men''s Epée'!$A$3=1,P11&gt;0),ABS(P11),0)</f>
        <v>0</v>
      </c>
      <c r="Y11" s="25">
        <f>IF(OR('Men''s Epée'!$A$3=1,Q11&gt;0),ABS(Q11),0)</f>
        <v>0</v>
      </c>
      <c r="AA11" s="12">
        <f>IF('Men''s Epée'!$S$3=TRUE,I11,0)</f>
        <v>620</v>
      </c>
      <c r="AB11" s="12">
        <f>IF('Men''s Epée'!$T$3=TRUE,K11,0)</f>
        <v>525</v>
      </c>
      <c r="AC11" s="12">
        <f>IF('Men''s Epée'!$U$3=TRUE,M11,0)</f>
        <v>695</v>
      </c>
      <c r="AD11" s="26">
        <f t="shared" si="5"/>
        <v>0</v>
      </c>
      <c r="AE11" s="26">
        <f t="shared" si="6"/>
        <v>0</v>
      </c>
      <c r="AF11" s="26">
        <f t="shared" si="7"/>
        <v>0</v>
      </c>
      <c r="AG11" s="26">
        <f t="shared" si="8"/>
        <v>0</v>
      </c>
      <c r="AH11" s="12">
        <f t="shared" si="9"/>
        <v>1395</v>
      </c>
    </row>
    <row r="12" spans="1:34" ht="13.5">
      <c r="A12" s="16" t="str">
        <f t="shared" si="0"/>
        <v>9</v>
      </c>
      <c r="B12" s="16" t="str">
        <f t="shared" si="10"/>
        <v>#</v>
      </c>
      <c r="C12" s="17" t="s">
        <v>71</v>
      </c>
      <c r="D12" s="18">
        <v>1985</v>
      </c>
      <c r="E12" s="19">
        <f>ROUND(F12+IF('Men''s Epée'!$A$3=1,G12,0)+LARGE($S12:$Y12,1)+LARGE($S12:$Y12,2),0)</f>
        <v>1380</v>
      </c>
      <c r="F12" s="20"/>
      <c r="G12" s="21"/>
      <c r="H12" s="21">
        <v>11</v>
      </c>
      <c r="I12" s="22">
        <f>IF(OR('Men''s Epée'!$A$3=1,'Men''s Epée'!$S$3=TRUE),IF(OR(H12&gt;=49,ISNUMBER(H12)=FALSE),0,VLOOKUP(H12,PointTable,I$3,TRUE)),0)</f>
        <v>590</v>
      </c>
      <c r="J12" s="21">
        <v>8</v>
      </c>
      <c r="K12" s="22">
        <f>IF(OR('Men''s Epée'!$A$3=1,'Men''s Epée'!$T$3=TRUE),IF(OR(J12&gt;=49,ISNUMBER(J12)=FALSE),0,VLOOKUP(J12,PointTable,K$3,TRUE)),0)</f>
        <v>695</v>
      </c>
      <c r="L12" s="21">
        <v>8</v>
      </c>
      <c r="M12" s="22">
        <f>IF(OR('Men''s Epée'!$A$3=1,'Men''s Epée'!$U$3=TRUE),IF(OR(L12&gt;=49,ISNUMBER(L12)=FALSE),0,VLOOKUP(L12,PointTable,M$3,TRUE)),0)</f>
        <v>685</v>
      </c>
      <c r="N12" s="23"/>
      <c r="O12" s="23"/>
      <c r="P12" s="23"/>
      <c r="Q12" s="24"/>
      <c r="S12" s="25">
        <f t="shared" si="2"/>
        <v>590</v>
      </c>
      <c r="T12" s="25">
        <f t="shared" si="3"/>
        <v>695</v>
      </c>
      <c r="U12" s="25">
        <f t="shared" si="4"/>
        <v>685</v>
      </c>
      <c r="V12" s="25">
        <f>IF(OR('Men''s Epée'!$A$3=1,N12&gt;0),ABS(N12),0)</f>
        <v>0</v>
      </c>
      <c r="W12" s="25">
        <f>IF(OR('Men''s Epée'!$A$3=1,O12&gt;0),ABS(O12),0)</f>
        <v>0</v>
      </c>
      <c r="X12" s="25">
        <f>IF(OR('Men''s Epée'!$A$3=1,P12&gt;0),ABS(P12),0)</f>
        <v>0</v>
      </c>
      <c r="Y12" s="25">
        <f>IF(OR('Men''s Epée'!$A$3=1,Q12&gt;0),ABS(Q12),0)</f>
        <v>0</v>
      </c>
      <c r="AA12" s="12">
        <f>IF('Men''s Epée'!$S$3=TRUE,I12,0)</f>
        <v>590</v>
      </c>
      <c r="AB12" s="12">
        <f>IF('Men''s Epée'!$T$3=TRUE,K12,0)</f>
        <v>695</v>
      </c>
      <c r="AC12" s="12">
        <f>IF('Men''s Epée'!$U$3=TRUE,M12,0)</f>
        <v>685</v>
      </c>
      <c r="AD12" s="26">
        <f t="shared" si="5"/>
        <v>0</v>
      </c>
      <c r="AE12" s="26">
        <f t="shared" si="6"/>
        <v>0</v>
      </c>
      <c r="AF12" s="26">
        <f t="shared" si="7"/>
        <v>0</v>
      </c>
      <c r="AG12" s="26">
        <f t="shared" si="8"/>
        <v>0</v>
      </c>
      <c r="AH12" s="12">
        <f t="shared" si="9"/>
        <v>1380</v>
      </c>
    </row>
    <row r="13" spans="1:34" ht="13.5">
      <c r="A13" s="16" t="str">
        <f t="shared" si="0"/>
        <v>10</v>
      </c>
      <c r="B13" s="16" t="str">
        <f t="shared" si="10"/>
        <v>#</v>
      </c>
      <c r="C13" s="27" t="s">
        <v>75</v>
      </c>
      <c r="D13" s="18">
        <v>1983</v>
      </c>
      <c r="E13" s="19">
        <f>ROUND(F13+IF('Men''s Epée'!$A$3=1,G13,0)+LARGE($S13:$Y13,1)+LARGE($S13:$Y13,2),0)</f>
        <v>1140</v>
      </c>
      <c r="F13" s="20"/>
      <c r="G13" s="21"/>
      <c r="H13" s="21">
        <v>18</v>
      </c>
      <c r="I13" s="22">
        <f>IF(OR('Men''s Epée'!$A$3=1,'Men''s Epée'!$S$3=TRUE),IF(OR(H13&gt;=49,ISNUMBER(H13)=FALSE),0,VLOOKUP(H13,PointTable,I$3,TRUE)),0)</f>
        <v>410</v>
      </c>
      <c r="J13" s="21">
        <v>10</v>
      </c>
      <c r="K13" s="22">
        <f>IF(OR('Men''s Epée'!$A$3=1,'Men''s Epée'!$T$3=TRUE),IF(OR(J13&gt;=49,ISNUMBER(J13)=FALSE),0,VLOOKUP(J13,PointTable,K$3,TRUE)),0)</f>
        <v>605</v>
      </c>
      <c r="L13" s="21">
        <v>9</v>
      </c>
      <c r="M13" s="22">
        <f>IF(OR('Men''s Epée'!$A$3=1,'Men''s Epée'!$U$3=TRUE),IF(OR(L13&gt;=49,ISNUMBER(L13)=FALSE),0,VLOOKUP(L13,PointTable,M$3,TRUE)),0)</f>
        <v>535</v>
      </c>
      <c r="N13" s="23"/>
      <c r="O13" s="23"/>
      <c r="P13" s="23"/>
      <c r="Q13" s="24"/>
      <c r="S13" s="25">
        <f t="shared" si="2"/>
        <v>410</v>
      </c>
      <c r="T13" s="25">
        <f t="shared" si="3"/>
        <v>605</v>
      </c>
      <c r="U13" s="25">
        <f t="shared" si="4"/>
        <v>535</v>
      </c>
      <c r="V13" s="25">
        <f>IF(OR('Men''s Epée'!$A$3=1,N13&gt;0),ABS(N13),0)</f>
        <v>0</v>
      </c>
      <c r="W13" s="25">
        <f>IF(OR('Men''s Epée'!$A$3=1,O13&gt;0),ABS(O13),0)</f>
        <v>0</v>
      </c>
      <c r="X13" s="25">
        <f>IF(OR('Men''s Epée'!$A$3=1,P13&gt;0),ABS(P13),0)</f>
        <v>0</v>
      </c>
      <c r="Y13" s="25">
        <f>IF(OR('Men''s Epée'!$A$3=1,Q13&gt;0),ABS(Q13),0)</f>
        <v>0</v>
      </c>
      <c r="AA13" s="12">
        <f>IF('Men''s Epée'!$S$3=TRUE,I13,0)</f>
        <v>410</v>
      </c>
      <c r="AB13" s="12">
        <f>IF('Men''s Epée'!$T$3=TRUE,K13,0)</f>
        <v>605</v>
      </c>
      <c r="AC13" s="12">
        <f>IF('Men''s Epée'!$U$3=TRUE,M13,0)</f>
        <v>535</v>
      </c>
      <c r="AD13" s="26">
        <f t="shared" si="5"/>
        <v>0</v>
      </c>
      <c r="AE13" s="26">
        <f t="shared" si="6"/>
        <v>0</v>
      </c>
      <c r="AF13" s="26">
        <f t="shared" si="7"/>
        <v>0</v>
      </c>
      <c r="AG13" s="26">
        <f t="shared" si="8"/>
        <v>0</v>
      </c>
      <c r="AH13" s="12">
        <f t="shared" si="9"/>
        <v>1140</v>
      </c>
    </row>
    <row r="14" spans="1:34" ht="13.5">
      <c r="A14" s="16" t="str">
        <f t="shared" si="0"/>
        <v>11</v>
      </c>
      <c r="B14" s="16">
        <f t="shared" si="10"/>
      </c>
      <c r="C14" s="17" t="s">
        <v>73</v>
      </c>
      <c r="D14" s="18">
        <v>1969</v>
      </c>
      <c r="E14" s="19">
        <f>ROUND(F14+IF('Men''s Epée'!$A$3=1,G14,0)+LARGE($S14:$Y14,1)+LARGE($S14:$Y14,2),0)</f>
        <v>1125</v>
      </c>
      <c r="F14" s="20"/>
      <c r="G14" s="21"/>
      <c r="H14" s="21">
        <v>10</v>
      </c>
      <c r="I14" s="22">
        <f>IF(OR('Men''s Epée'!$A$3=1,'Men''s Epée'!$S$3=TRUE),IF(OR(H14&gt;=49,ISNUMBER(H14)=FALSE),0,VLOOKUP(H14,PointTable,I$3,TRUE)),0)</f>
        <v>605</v>
      </c>
      <c r="J14" s="21">
        <v>17</v>
      </c>
      <c r="K14" s="22">
        <f>IF(OR('Men''s Epée'!$A$3=1,'Men''s Epée'!$T$3=TRUE),IF(OR(J14&gt;=49,ISNUMBER(J14)=FALSE),0,VLOOKUP(J14,PointTable,K$3,TRUE)),0)</f>
        <v>415</v>
      </c>
      <c r="L14" s="21">
        <v>12</v>
      </c>
      <c r="M14" s="22">
        <f>IF(OR('Men''s Epée'!$A$3=1,'Men''s Epée'!$U$3=TRUE),IF(OR(L14&gt;=49,ISNUMBER(L14)=FALSE),0,VLOOKUP(L14,PointTable,M$3,TRUE)),0)</f>
        <v>520</v>
      </c>
      <c r="N14" s="23"/>
      <c r="O14" s="23"/>
      <c r="P14" s="23"/>
      <c r="Q14" s="24"/>
      <c r="S14" s="25">
        <f t="shared" si="2"/>
        <v>605</v>
      </c>
      <c r="T14" s="25">
        <f t="shared" si="3"/>
        <v>415</v>
      </c>
      <c r="U14" s="25">
        <f t="shared" si="4"/>
        <v>520</v>
      </c>
      <c r="V14" s="25">
        <f>IF(OR('Men''s Epée'!$A$3=1,N14&gt;0),ABS(N14),0)</f>
        <v>0</v>
      </c>
      <c r="W14" s="25">
        <f>IF(OR('Men''s Epée'!$A$3=1,O14&gt;0),ABS(O14),0)</f>
        <v>0</v>
      </c>
      <c r="X14" s="25">
        <f>IF(OR('Men''s Epée'!$A$3=1,P14&gt;0),ABS(P14),0)</f>
        <v>0</v>
      </c>
      <c r="Y14" s="25">
        <f>IF(OR('Men''s Epée'!$A$3=1,Q14&gt;0),ABS(Q14),0)</f>
        <v>0</v>
      </c>
      <c r="AA14" s="12">
        <f>IF('Men''s Epée'!$S$3=TRUE,I14,0)</f>
        <v>605</v>
      </c>
      <c r="AB14" s="12">
        <f>IF('Men''s Epée'!$T$3=TRUE,K14,0)</f>
        <v>415</v>
      </c>
      <c r="AC14" s="12">
        <f>IF('Men''s Epée'!$U$3=TRUE,M14,0)</f>
        <v>520</v>
      </c>
      <c r="AD14" s="26">
        <f t="shared" si="5"/>
        <v>0</v>
      </c>
      <c r="AE14" s="26">
        <f t="shared" si="6"/>
        <v>0</v>
      </c>
      <c r="AF14" s="26">
        <f t="shared" si="7"/>
        <v>0</v>
      </c>
      <c r="AG14" s="26">
        <f t="shared" si="8"/>
        <v>0</v>
      </c>
      <c r="AH14" s="12">
        <f t="shared" si="9"/>
        <v>1125</v>
      </c>
    </row>
    <row r="15" spans="1:34" ht="13.5">
      <c r="A15" s="16" t="str">
        <f t="shared" si="0"/>
        <v>12</v>
      </c>
      <c r="B15" s="16">
        <f t="shared" si="10"/>
      </c>
      <c r="C15" s="17" t="s">
        <v>371</v>
      </c>
      <c r="D15" s="18">
        <v>1972</v>
      </c>
      <c r="E15" s="19">
        <f>ROUND(F15+IF('Men''s Epée'!$A$3=1,G15,0)+LARGE($S15:$Y15,1)+LARGE($S15:$Y15,2),0)</f>
        <v>1020</v>
      </c>
      <c r="F15" s="20"/>
      <c r="G15" s="21"/>
      <c r="H15" s="21">
        <v>15</v>
      </c>
      <c r="I15" s="22">
        <f>IF(OR('Men''s Epée'!$A$3=1,'Men''s Epée'!$S$3=TRUE),IF(OR(H15&gt;=49,ISNUMBER(H15)=FALSE),0,VLOOKUP(H15,PointTable,I$3,TRUE)),0)</f>
        <v>495</v>
      </c>
      <c r="J15" s="21">
        <v>22.33</v>
      </c>
      <c r="K15" s="22">
        <f>IF(OR('Men''s Epée'!$A$3=1,'Men''s Epée'!$T$3=TRUE),IF(OR(J15&gt;=49,ISNUMBER(J15)=FALSE),0,VLOOKUP(J15,PointTable,K$3,TRUE)),0)</f>
        <v>385</v>
      </c>
      <c r="L15" s="21">
        <v>11</v>
      </c>
      <c r="M15" s="22">
        <f>IF(OR('Men''s Epée'!$A$3=1,'Men''s Epée'!$U$3=TRUE),IF(OR(L15&gt;=49,ISNUMBER(L15)=FALSE),0,VLOOKUP(L15,PointTable,M$3,TRUE)),0)</f>
        <v>525</v>
      </c>
      <c r="N15" s="23"/>
      <c r="O15" s="23"/>
      <c r="P15" s="23"/>
      <c r="Q15" s="24"/>
      <c r="S15" s="25">
        <f t="shared" si="2"/>
        <v>495</v>
      </c>
      <c r="T15" s="25">
        <f t="shared" si="3"/>
        <v>385</v>
      </c>
      <c r="U15" s="25">
        <f t="shared" si="4"/>
        <v>525</v>
      </c>
      <c r="V15" s="25">
        <f>IF(OR('Men''s Epée'!$A$3=1,N15&gt;0),ABS(N15),0)</f>
        <v>0</v>
      </c>
      <c r="W15" s="25">
        <f>IF(OR('Men''s Epée'!$A$3=1,O15&gt;0),ABS(O15),0)</f>
        <v>0</v>
      </c>
      <c r="X15" s="25">
        <f>IF(OR('Men''s Epée'!$A$3=1,P15&gt;0),ABS(P15),0)</f>
        <v>0</v>
      </c>
      <c r="Y15" s="25">
        <f>IF(OR('Men''s Epée'!$A$3=1,Q15&gt;0),ABS(Q15),0)</f>
        <v>0</v>
      </c>
      <c r="AA15" s="12">
        <f>IF('Men''s Epée'!$S$3=TRUE,I15,0)</f>
        <v>495</v>
      </c>
      <c r="AB15" s="12">
        <f>IF('Men''s Epée'!$T$3=TRUE,K15,0)</f>
        <v>385</v>
      </c>
      <c r="AC15" s="12">
        <f>IF('Men''s Epée'!$U$3=TRUE,M15,0)</f>
        <v>525</v>
      </c>
      <c r="AD15" s="26">
        <f t="shared" si="5"/>
        <v>0</v>
      </c>
      <c r="AE15" s="26">
        <f t="shared" si="6"/>
        <v>0</v>
      </c>
      <c r="AF15" s="26">
        <f t="shared" si="7"/>
        <v>0</v>
      </c>
      <c r="AG15" s="26">
        <f t="shared" si="8"/>
        <v>0</v>
      </c>
      <c r="AH15" s="12">
        <f t="shared" si="9"/>
        <v>1020</v>
      </c>
    </row>
    <row r="16" spans="1:34" ht="13.5">
      <c r="A16" s="16" t="str">
        <f t="shared" si="0"/>
        <v>13</v>
      </c>
      <c r="B16" s="16" t="str">
        <f t="shared" si="10"/>
        <v>#</v>
      </c>
      <c r="C16" s="17" t="s">
        <v>72</v>
      </c>
      <c r="D16" s="18">
        <v>1984</v>
      </c>
      <c r="E16" s="19">
        <f>ROUND(F16+IF('Men''s Epée'!$A$3=1,G16,0)+LARGE($S16:$Y16,1)+LARGE($S16:$Y16,2),0)</f>
        <v>985</v>
      </c>
      <c r="F16" s="20"/>
      <c r="G16" s="21"/>
      <c r="H16" s="21">
        <v>16</v>
      </c>
      <c r="I16" s="22">
        <f>IF(OR('Men''s Epée'!$A$3=1,'Men''s Epée'!$S$3=TRUE),IF(OR(H16&gt;=49,ISNUMBER(H16)=FALSE),0,VLOOKUP(H16,PointTable,I$3,TRUE)),0)</f>
        <v>480</v>
      </c>
      <c r="J16" s="21" t="s">
        <v>5</v>
      </c>
      <c r="K16" s="22">
        <f>IF(OR('Men''s Epée'!$A$3=1,'Men''s Epée'!$T$3=TRUE),IF(OR(J16&gt;=49,ISNUMBER(J16)=FALSE),0,VLOOKUP(J16,PointTable,K$3,TRUE)),0)</f>
        <v>0</v>
      </c>
      <c r="L16" s="21">
        <v>15</v>
      </c>
      <c r="M16" s="22">
        <f>IF(OR('Men''s Epée'!$A$3=1,'Men''s Epée'!$U$3=TRUE),IF(OR(L16&gt;=49,ISNUMBER(L16)=FALSE),0,VLOOKUP(L16,PointTable,M$3,TRUE)),0)</f>
        <v>505</v>
      </c>
      <c r="N16" s="23"/>
      <c r="O16" s="23"/>
      <c r="P16" s="23"/>
      <c r="Q16" s="24"/>
      <c r="S16" s="25">
        <f t="shared" si="2"/>
        <v>480</v>
      </c>
      <c r="T16" s="25">
        <f t="shared" si="3"/>
        <v>0</v>
      </c>
      <c r="U16" s="25">
        <f t="shared" si="4"/>
        <v>505</v>
      </c>
      <c r="V16" s="25">
        <f>IF(OR('Men''s Epée'!$A$3=1,N16&gt;0),ABS(N16),0)</f>
        <v>0</v>
      </c>
      <c r="W16" s="25">
        <f>IF(OR('Men''s Epée'!$A$3=1,O16&gt;0),ABS(O16),0)</f>
        <v>0</v>
      </c>
      <c r="X16" s="25">
        <f>IF(OR('Men''s Epée'!$A$3=1,P16&gt;0),ABS(P16),0)</f>
        <v>0</v>
      </c>
      <c r="Y16" s="25">
        <f>IF(OR('Men''s Epée'!$A$3=1,Q16&gt;0),ABS(Q16),0)</f>
        <v>0</v>
      </c>
      <c r="AA16" s="12">
        <f>IF('Men''s Epée'!$S$3=TRUE,I16,0)</f>
        <v>480</v>
      </c>
      <c r="AB16" s="12">
        <f>IF('Men''s Epée'!$T$3=TRUE,K16,0)</f>
        <v>0</v>
      </c>
      <c r="AC16" s="12">
        <f>IF('Men''s Epée'!$U$3=TRUE,M16,0)</f>
        <v>505</v>
      </c>
      <c r="AD16" s="26">
        <f t="shared" si="5"/>
        <v>0</v>
      </c>
      <c r="AE16" s="26">
        <f t="shared" si="6"/>
        <v>0</v>
      </c>
      <c r="AF16" s="26">
        <f t="shared" si="7"/>
        <v>0</v>
      </c>
      <c r="AG16" s="26">
        <f t="shared" si="8"/>
        <v>0</v>
      </c>
      <c r="AH16" s="12">
        <f t="shared" si="9"/>
        <v>985</v>
      </c>
    </row>
    <row r="17" spans="1:34" ht="13.5">
      <c r="A17" s="16" t="str">
        <f t="shared" si="0"/>
        <v>14</v>
      </c>
      <c r="B17" s="16" t="str">
        <f t="shared" si="10"/>
        <v>#</v>
      </c>
      <c r="C17" s="17" t="s">
        <v>137</v>
      </c>
      <c r="D17" s="18">
        <v>1984</v>
      </c>
      <c r="E17" s="19">
        <f>ROUND(F17+IF('Men''s Epée'!$A$3=1,G17,0)+LARGE($S17:$Y17,1)+LARGE($S17:$Y17,2),0)</f>
        <v>910</v>
      </c>
      <c r="F17" s="20"/>
      <c r="G17" s="21"/>
      <c r="H17" s="21">
        <v>17</v>
      </c>
      <c r="I17" s="22">
        <f>IF(OR('Men''s Epée'!$A$3=1,'Men''s Epée'!$S$3=TRUE),IF(OR(H17&gt;=49,ISNUMBER(H17)=FALSE),0,VLOOKUP(H17,PointTable,I$3,TRUE)),0)</f>
        <v>415</v>
      </c>
      <c r="J17" s="21">
        <v>15</v>
      </c>
      <c r="K17" s="22">
        <f>IF(OR('Men''s Epée'!$A$3=1,'Men''s Epée'!$T$3=TRUE),IF(OR(J17&gt;=49,ISNUMBER(J17)=FALSE),0,VLOOKUP(J17,PointTable,K$3,TRUE)),0)</f>
        <v>495</v>
      </c>
      <c r="L17" s="21">
        <v>21</v>
      </c>
      <c r="M17" s="22">
        <f>IF(OR('Men''s Epée'!$A$3=1,'Men''s Epée'!$U$3=TRUE),IF(OR(L17&gt;=49,ISNUMBER(L17)=FALSE),0,VLOOKUP(L17,PointTable,M$3,TRUE)),0)</f>
        <v>330</v>
      </c>
      <c r="N17" s="23"/>
      <c r="O17" s="23"/>
      <c r="P17" s="23"/>
      <c r="Q17" s="24"/>
      <c r="S17" s="25">
        <f t="shared" si="2"/>
        <v>415</v>
      </c>
      <c r="T17" s="25">
        <f t="shared" si="3"/>
        <v>495</v>
      </c>
      <c r="U17" s="25">
        <f t="shared" si="4"/>
        <v>330</v>
      </c>
      <c r="V17" s="25">
        <f>IF(OR('Men''s Epée'!$A$3=1,N17&gt;0),ABS(N17),0)</f>
        <v>0</v>
      </c>
      <c r="W17" s="25">
        <f>IF(OR('Men''s Epée'!$A$3=1,O17&gt;0),ABS(O17),0)</f>
        <v>0</v>
      </c>
      <c r="X17" s="25">
        <f>IF(OR('Men''s Epée'!$A$3=1,P17&gt;0),ABS(P17),0)</f>
        <v>0</v>
      </c>
      <c r="Y17" s="25">
        <f>IF(OR('Men''s Epée'!$A$3=1,Q17&gt;0),ABS(Q17),0)</f>
        <v>0</v>
      </c>
      <c r="AA17" s="12">
        <f>IF('Men''s Epée'!$S$3=TRUE,I17,0)</f>
        <v>415</v>
      </c>
      <c r="AB17" s="12">
        <f>IF('Men''s Epée'!$T$3=TRUE,K17,0)</f>
        <v>495</v>
      </c>
      <c r="AC17" s="12">
        <f>IF('Men''s Epée'!$U$3=TRUE,M17,0)</f>
        <v>330</v>
      </c>
      <c r="AD17" s="26">
        <f t="shared" si="5"/>
        <v>0</v>
      </c>
      <c r="AE17" s="26">
        <f t="shared" si="6"/>
        <v>0</v>
      </c>
      <c r="AF17" s="26">
        <f t="shared" si="7"/>
        <v>0</v>
      </c>
      <c r="AG17" s="26">
        <f t="shared" si="8"/>
        <v>0</v>
      </c>
      <c r="AH17" s="12">
        <f t="shared" si="9"/>
        <v>910</v>
      </c>
    </row>
    <row r="18" spans="1:34" ht="13.5">
      <c r="A18" s="16" t="str">
        <f t="shared" si="0"/>
        <v>15</v>
      </c>
      <c r="B18" s="16">
        <f t="shared" si="10"/>
      </c>
      <c r="C18" s="17" t="s">
        <v>65</v>
      </c>
      <c r="D18" s="18">
        <v>1975</v>
      </c>
      <c r="E18" s="19">
        <f>ROUND(F18+IF('Men''s Epée'!$A$3=1,G18,0)+LARGE($S18:$Y18,1)+LARGE($S18:$Y18,2),0)</f>
        <v>850</v>
      </c>
      <c r="F18" s="20"/>
      <c r="G18" s="21"/>
      <c r="H18" s="21" t="s">
        <v>5</v>
      </c>
      <c r="I18" s="22">
        <f>IF(OR('Men''s Epée'!$A$3=1,'Men''s Epée'!$S$3=TRUE),IF(OR(H18&gt;=49,ISNUMBER(H18)=FALSE),0,VLOOKUP(H18,PointTable,I$3,TRUE)),0)</f>
        <v>0</v>
      </c>
      <c r="J18" s="21" t="s">
        <v>5</v>
      </c>
      <c r="K18" s="22">
        <f>IF(OR('Men''s Epée'!$A$3=1,'Men''s Epée'!$T$3=TRUE),IF(OR(J18&gt;=49,ISNUMBER(J18)=FALSE),0,VLOOKUP(J18,PointTable,K$3,TRUE)),0)</f>
        <v>0</v>
      </c>
      <c r="L18" s="21">
        <v>3</v>
      </c>
      <c r="M18" s="22">
        <f>IF(OR('Men''s Epée'!$A$3=1,'Men''s Epée'!$U$3=TRUE),IF(OR(L18&gt;=49,ISNUMBER(L18)=FALSE),0,VLOOKUP(L18,PointTable,M$3,TRUE)),0)</f>
        <v>850</v>
      </c>
      <c r="N18" s="23"/>
      <c r="O18" s="23"/>
      <c r="P18" s="23"/>
      <c r="Q18" s="24"/>
      <c r="S18" s="25">
        <f aca="true" t="shared" si="11" ref="S18:S25">I18</f>
        <v>0</v>
      </c>
      <c r="T18" s="25">
        <f aca="true" t="shared" si="12" ref="T18:T25">K18</f>
        <v>0</v>
      </c>
      <c r="U18" s="25">
        <f aca="true" t="shared" si="13" ref="U18:U25">M18</f>
        <v>850</v>
      </c>
      <c r="V18" s="25">
        <f>IF(OR('Men''s Epée'!$A$3=1,N18&gt;0),ABS(N18),0)</f>
        <v>0</v>
      </c>
      <c r="W18" s="25">
        <f>IF(OR('Men''s Epée'!$A$3=1,O18&gt;0),ABS(O18),0)</f>
        <v>0</v>
      </c>
      <c r="X18" s="25">
        <f>IF(OR('Men''s Epée'!$A$3=1,P18&gt;0),ABS(P18),0)</f>
        <v>0</v>
      </c>
      <c r="Y18" s="25">
        <f>IF(OR('Men''s Epée'!$A$3=1,Q18&gt;0),ABS(Q18),0)</f>
        <v>0</v>
      </c>
      <c r="AA18" s="12">
        <f>IF('Men''s Epée'!$S$3=TRUE,I18,0)</f>
        <v>0</v>
      </c>
      <c r="AB18" s="12">
        <f>IF('Men''s Epée'!$T$3=TRUE,K18,0)</f>
        <v>0</v>
      </c>
      <c r="AC18" s="12">
        <f>IF('Men''s Epée'!$U$3=TRUE,M18,0)</f>
        <v>850</v>
      </c>
      <c r="AD18" s="26">
        <f aca="true" t="shared" si="14" ref="AD18:AD25">MAX(N18,0)</f>
        <v>0</v>
      </c>
      <c r="AE18" s="26">
        <f aca="true" t="shared" si="15" ref="AE18:AE25">MAX(O18,0)</f>
        <v>0</v>
      </c>
      <c r="AF18" s="26">
        <f aca="true" t="shared" si="16" ref="AF18:AF25">MAX(P18,0)</f>
        <v>0</v>
      </c>
      <c r="AG18" s="26">
        <f aca="true" t="shared" si="17" ref="AG18:AG25">MAX(Q18,0)</f>
        <v>0</v>
      </c>
      <c r="AH18" s="12">
        <f t="shared" si="9"/>
        <v>850</v>
      </c>
    </row>
    <row r="19" spans="1:34" ht="13.5">
      <c r="A19" s="16" t="str">
        <f t="shared" si="0"/>
        <v>16</v>
      </c>
      <c r="B19" s="16" t="str">
        <f t="shared" si="10"/>
        <v>#</v>
      </c>
      <c r="C19" s="17" t="s">
        <v>192</v>
      </c>
      <c r="D19" s="18">
        <v>1985</v>
      </c>
      <c r="E19" s="19">
        <f>ROUND(F19+IF('Men''s Epée'!$A$3=1,G19,0)+LARGE($S19:$Y19,1)+LARGE($S19:$Y19,2),0)</f>
        <v>800</v>
      </c>
      <c r="F19" s="20"/>
      <c r="G19" s="21"/>
      <c r="H19" s="21">
        <v>37</v>
      </c>
      <c r="I19" s="22">
        <f>IF(OR('Men''s Epée'!$A$3=1,'Men''s Epée'!$S$3=TRUE),IF(OR(H19&gt;=49,ISNUMBER(H19)=FALSE),0,VLOOKUP(H19,PointTable,I$3,TRUE)),0)</f>
        <v>255</v>
      </c>
      <c r="J19" s="21">
        <v>16</v>
      </c>
      <c r="K19" s="22">
        <f>IF(OR('Men''s Epée'!$A$3=1,'Men''s Epée'!$T$3=TRUE),IF(OR(J19&gt;=49,ISNUMBER(J19)=FALSE),0,VLOOKUP(J19,PointTable,K$3,TRUE)),0)</f>
        <v>480</v>
      </c>
      <c r="L19" s="21">
        <v>23</v>
      </c>
      <c r="M19" s="22">
        <f>IF(OR('Men''s Epée'!$A$3=1,'Men''s Epée'!$U$3=TRUE),IF(OR(L19&gt;=49,ISNUMBER(L19)=FALSE),0,VLOOKUP(L19,PointTable,M$3,TRUE)),0)</f>
        <v>320</v>
      </c>
      <c r="N19" s="23"/>
      <c r="O19" s="23"/>
      <c r="P19" s="23"/>
      <c r="Q19" s="24"/>
      <c r="S19" s="25">
        <f t="shared" si="11"/>
        <v>255</v>
      </c>
      <c r="T19" s="25">
        <f t="shared" si="12"/>
        <v>480</v>
      </c>
      <c r="U19" s="25">
        <f t="shared" si="13"/>
        <v>320</v>
      </c>
      <c r="V19" s="25">
        <f>IF(OR('Men''s Epée'!$A$3=1,N19&gt;0),ABS(N19),0)</f>
        <v>0</v>
      </c>
      <c r="W19" s="25">
        <f>IF(OR('Men''s Epée'!$A$3=1,O19&gt;0),ABS(O19),0)</f>
        <v>0</v>
      </c>
      <c r="X19" s="25">
        <f>IF(OR('Men''s Epée'!$A$3=1,P19&gt;0),ABS(P19),0)</f>
        <v>0</v>
      </c>
      <c r="Y19" s="25">
        <f>IF(OR('Men''s Epée'!$A$3=1,Q19&gt;0),ABS(Q19),0)</f>
        <v>0</v>
      </c>
      <c r="AA19" s="12">
        <f>IF('Men''s Epée'!$S$3=TRUE,I19,0)</f>
        <v>255</v>
      </c>
      <c r="AB19" s="12">
        <f>IF('Men''s Epée'!$T$3=TRUE,K19,0)</f>
        <v>480</v>
      </c>
      <c r="AC19" s="12">
        <f>IF('Men''s Epée'!$U$3=TRUE,M19,0)</f>
        <v>320</v>
      </c>
      <c r="AD19" s="26">
        <f t="shared" si="14"/>
        <v>0</v>
      </c>
      <c r="AE19" s="26">
        <f t="shared" si="15"/>
        <v>0</v>
      </c>
      <c r="AF19" s="26">
        <f t="shared" si="16"/>
        <v>0</v>
      </c>
      <c r="AG19" s="26">
        <f t="shared" si="17"/>
        <v>0</v>
      </c>
      <c r="AH19" s="12">
        <f t="shared" si="9"/>
        <v>800</v>
      </c>
    </row>
    <row r="20" spans="1:34" ht="13.5">
      <c r="A20" s="16" t="str">
        <f t="shared" si="0"/>
        <v>17</v>
      </c>
      <c r="B20" s="16" t="str">
        <f t="shared" si="10"/>
        <v>#</v>
      </c>
      <c r="C20" s="17" t="s">
        <v>281</v>
      </c>
      <c r="D20" s="18">
        <v>1984</v>
      </c>
      <c r="E20" s="19">
        <f>ROUND(F20+IF('Men''s Epée'!$A$3=1,G20,0)+LARGE($S20:$Y20,1)+LARGE($S20:$Y20,2),0)</f>
        <v>790</v>
      </c>
      <c r="F20" s="20"/>
      <c r="G20" s="21"/>
      <c r="H20" s="21">
        <v>19</v>
      </c>
      <c r="I20" s="22">
        <f>IF(OR('Men''s Epée'!$A$3=1,'Men''s Epée'!$S$3=TRUE),IF(OR(H20&gt;=49,ISNUMBER(H20)=FALSE),0,VLOOKUP(H20,PointTable,I$3,TRUE)),0)</f>
        <v>405</v>
      </c>
      <c r="J20" s="21">
        <v>22.33</v>
      </c>
      <c r="K20" s="22">
        <f>IF(OR('Men''s Epée'!$A$3=1,'Men''s Epée'!$T$3=TRUE),IF(OR(J20&gt;=49,ISNUMBER(J20)=FALSE),0,VLOOKUP(J20,PointTable,K$3,TRUE)),0)</f>
        <v>385</v>
      </c>
      <c r="L20" s="21">
        <v>22</v>
      </c>
      <c r="M20" s="22">
        <f>IF(OR('Men''s Epée'!$A$3=1,'Men''s Epée'!$U$3=TRUE),IF(OR(L20&gt;=49,ISNUMBER(L20)=FALSE),0,VLOOKUP(L20,PointTable,M$3,TRUE)),0)</f>
        <v>325</v>
      </c>
      <c r="N20" s="23"/>
      <c r="O20" s="23"/>
      <c r="P20" s="23"/>
      <c r="Q20" s="24"/>
      <c r="S20" s="25">
        <f t="shared" si="11"/>
        <v>405</v>
      </c>
      <c r="T20" s="25">
        <f t="shared" si="12"/>
        <v>385</v>
      </c>
      <c r="U20" s="25">
        <f t="shared" si="13"/>
        <v>325</v>
      </c>
      <c r="V20" s="25">
        <f>IF(OR('Men''s Epée'!$A$3=1,N20&gt;0),ABS(N20),0)</f>
        <v>0</v>
      </c>
      <c r="W20" s="25">
        <f>IF(OR('Men''s Epée'!$A$3=1,O20&gt;0),ABS(O20),0)</f>
        <v>0</v>
      </c>
      <c r="X20" s="25">
        <f>IF(OR('Men''s Epée'!$A$3=1,P20&gt;0),ABS(P20),0)</f>
        <v>0</v>
      </c>
      <c r="Y20" s="25">
        <f>IF(OR('Men''s Epée'!$A$3=1,Q20&gt;0),ABS(Q20),0)</f>
        <v>0</v>
      </c>
      <c r="AA20" s="12">
        <f>IF('Men''s Epée'!$S$3=TRUE,I20,0)</f>
        <v>405</v>
      </c>
      <c r="AB20" s="12">
        <f>IF('Men''s Epée'!$T$3=TRUE,K20,0)</f>
        <v>385</v>
      </c>
      <c r="AC20" s="12">
        <f>IF('Men''s Epée'!$U$3=TRUE,M20,0)</f>
        <v>325</v>
      </c>
      <c r="AD20" s="26">
        <f t="shared" si="14"/>
        <v>0</v>
      </c>
      <c r="AE20" s="26">
        <f t="shared" si="15"/>
        <v>0</v>
      </c>
      <c r="AF20" s="26">
        <f t="shared" si="16"/>
        <v>0</v>
      </c>
      <c r="AG20" s="26">
        <f t="shared" si="17"/>
        <v>0</v>
      </c>
      <c r="AH20" s="12">
        <f t="shared" si="9"/>
        <v>790</v>
      </c>
    </row>
    <row r="21" spans="1:34" ht="13.5">
      <c r="A21" s="16" t="str">
        <f t="shared" si="0"/>
        <v>18</v>
      </c>
      <c r="B21" s="16" t="str">
        <f t="shared" si="10"/>
        <v>#</v>
      </c>
      <c r="C21" s="17" t="s">
        <v>284</v>
      </c>
      <c r="D21" s="18">
        <v>1988</v>
      </c>
      <c r="E21" s="19">
        <f>ROUND(F21+IF('Men''s Epée'!$A$3=1,G21,0)+LARGE($S21:$Y21,1)+LARGE($S21:$Y21,2),0)</f>
        <v>785</v>
      </c>
      <c r="F21" s="20"/>
      <c r="G21" s="21"/>
      <c r="H21" s="21">
        <v>32</v>
      </c>
      <c r="I21" s="22">
        <f>IF(OR('Men''s Epée'!$A$3=1,'Men''s Epée'!$S$3=TRUE),IF(OR(H21&gt;=49,ISNUMBER(H21)=FALSE),0,VLOOKUP(H21,PointTable,I$3,TRUE)),0)</f>
        <v>280</v>
      </c>
      <c r="J21" s="21">
        <v>31</v>
      </c>
      <c r="K21" s="22">
        <f>IF(OR('Men''s Epée'!$A$3=1,'Men''s Epée'!$T$3=TRUE),IF(OR(J21&gt;=49,ISNUMBER(J21)=FALSE),0,VLOOKUP(J21,PointTable,K$3,TRUE)),0)</f>
        <v>285</v>
      </c>
      <c r="L21" s="21">
        <v>16</v>
      </c>
      <c r="M21" s="22">
        <f>IF(OR('Men''s Epée'!$A$3=1,'Men''s Epée'!$U$3=TRUE),IF(OR(L21&gt;=49,ISNUMBER(L21)=FALSE),0,VLOOKUP(L21,PointTable,M$3,TRUE)),0)</f>
        <v>500</v>
      </c>
      <c r="N21" s="23"/>
      <c r="O21" s="23"/>
      <c r="P21" s="23"/>
      <c r="Q21" s="24"/>
      <c r="S21" s="25">
        <f t="shared" si="11"/>
        <v>280</v>
      </c>
      <c r="T21" s="25">
        <f t="shared" si="12"/>
        <v>285</v>
      </c>
      <c r="U21" s="25">
        <f t="shared" si="13"/>
        <v>500</v>
      </c>
      <c r="V21" s="25">
        <f>IF(OR('Men''s Epée'!$A$3=1,N21&gt;0),ABS(N21),0)</f>
        <v>0</v>
      </c>
      <c r="W21" s="25">
        <f>IF(OR('Men''s Epée'!$A$3=1,O21&gt;0),ABS(O21),0)</f>
        <v>0</v>
      </c>
      <c r="X21" s="25">
        <f>IF(OR('Men''s Epée'!$A$3=1,P21&gt;0),ABS(P21),0)</f>
        <v>0</v>
      </c>
      <c r="Y21" s="25">
        <f>IF(OR('Men''s Epée'!$A$3=1,Q21&gt;0),ABS(Q21),0)</f>
        <v>0</v>
      </c>
      <c r="AA21" s="12">
        <f>IF('Men''s Epée'!$S$3=TRUE,I21,0)</f>
        <v>280</v>
      </c>
      <c r="AB21" s="12">
        <f>IF('Men''s Epée'!$T$3=TRUE,K21,0)</f>
        <v>285</v>
      </c>
      <c r="AC21" s="12">
        <f>IF('Men''s Epée'!$U$3=TRUE,M21,0)</f>
        <v>500</v>
      </c>
      <c r="AD21" s="26">
        <f t="shared" si="14"/>
        <v>0</v>
      </c>
      <c r="AE21" s="26">
        <f t="shared" si="15"/>
        <v>0</v>
      </c>
      <c r="AF21" s="26">
        <f t="shared" si="16"/>
        <v>0</v>
      </c>
      <c r="AG21" s="26">
        <f t="shared" si="17"/>
        <v>0</v>
      </c>
      <c r="AH21" s="12">
        <f t="shared" si="9"/>
        <v>785</v>
      </c>
    </row>
    <row r="22" spans="1:34" ht="13.5">
      <c r="A22" s="16" t="str">
        <f t="shared" si="0"/>
        <v>19</v>
      </c>
      <c r="B22" s="16">
        <f t="shared" si="10"/>
      </c>
      <c r="C22" s="17" t="s">
        <v>79</v>
      </c>
      <c r="D22" s="18">
        <v>1971</v>
      </c>
      <c r="E22" s="19">
        <f>ROUND(F22+IF('Men''s Epée'!$A$3=1,G22,0)+LARGE($S22:$Y22,1)+LARGE($S22:$Y22,2),0)</f>
        <v>750</v>
      </c>
      <c r="F22" s="20"/>
      <c r="G22" s="21"/>
      <c r="H22" s="21">
        <v>20</v>
      </c>
      <c r="I22" s="22">
        <f>IF(OR('Men''s Epée'!$A$3=1,'Men''s Epée'!$S$3=TRUE),IF(OR(H22&gt;=49,ISNUMBER(H22)=FALSE),0,VLOOKUP(H22,PointTable,I$3,TRUE)),0)</f>
        <v>400</v>
      </c>
      <c r="J22" s="21">
        <v>33</v>
      </c>
      <c r="K22" s="22">
        <f>IF(OR('Men''s Epée'!$A$3=1,'Men''s Epée'!$T$3=TRUE),IF(OR(J22&gt;=49,ISNUMBER(J22)=FALSE),0,VLOOKUP(J22,PointTable,K$3,TRUE)),0)</f>
        <v>275</v>
      </c>
      <c r="L22" s="21">
        <v>17</v>
      </c>
      <c r="M22" s="22">
        <f>IF(OR('Men''s Epée'!$A$3=1,'Men''s Epée'!$U$3=TRUE),IF(OR(L22&gt;=49,ISNUMBER(L22)=FALSE),0,VLOOKUP(L22,PointTable,M$3,TRUE)),0)</f>
        <v>350</v>
      </c>
      <c r="N22" s="23"/>
      <c r="O22" s="23"/>
      <c r="P22" s="23"/>
      <c r="Q22" s="24"/>
      <c r="S22" s="25">
        <f t="shared" si="11"/>
        <v>400</v>
      </c>
      <c r="T22" s="25">
        <f t="shared" si="12"/>
        <v>275</v>
      </c>
      <c r="U22" s="25">
        <f t="shared" si="13"/>
        <v>350</v>
      </c>
      <c r="V22" s="25">
        <f>IF(OR('Men''s Epée'!$A$3=1,N22&gt;0),ABS(N22),0)</f>
        <v>0</v>
      </c>
      <c r="W22" s="25">
        <f>IF(OR('Men''s Epée'!$A$3=1,O22&gt;0),ABS(O22),0)</f>
        <v>0</v>
      </c>
      <c r="X22" s="25">
        <f>IF(OR('Men''s Epée'!$A$3=1,P22&gt;0),ABS(P22),0)</f>
        <v>0</v>
      </c>
      <c r="Y22" s="25">
        <f>IF(OR('Men''s Epée'!$A$3=1,Q22&gt;0),ABS(Q22),0)</f>
        <v>0</v>
      </c>
      <c r="AA22" s="12">
        <f>IF('Men''s Epée'!$S$3=TRUE,I22,0)</f>
        <v>400</v>
      </c>
      <c r="AB22" s="12">
        <f>IF('Men''s Epée'!$T$3=TRUE,K22,0)</f>
        <v>275</v>
      </c>
      <c r="AC22" s="12">
        <f>IF('Men''s Epée'!$U$3=TRUE,M22,0)</f>
        <v>350</v>
      </c>
      <c r="AD22" s="26">
        <f t="shared" si="14"/>
        <v>0</v>
      </c>
      <c r="AE22" s="26">
        <f t="shared" si="15"/>
        <v>0</v>
      </c>
      <c r="AF22" s="26">
        <f t="shared" si="16"/>
        <v>0</v>
      </c>
      <c r="AG22" s="26">
        <f t="shared" si="17"/>
        <v>0</v>
      </c>
      <c r="AH22" s="12">
        <f t="shared" si="9"/>
        <v>750</v>
      </c>
    </row>
    <row r="23" spans="1:34" ht="13.5">
      <c r="A23" s="16" t="str">
        <f t="shared" si="0"/>
        <v>20T</v>
      </c>
      <c r="B23" s="16" t="str">
        <f t="shared" si="10"/>
        <v>#</v>
      </c>
      <c r="C23" s="17" t="s">
        <v>211</v>
      </c>
      <c r="D23" s="18">
        <v>1987</v>
      </c>
      <c r="E23" s="19">
        <f>ROUND(F23+IF('Men''s Epée'!$A$3=1,G23,0)+LARGE($S23:$Y23,1)+LARGE($S23:$Y23,2),0)</f>
        <v>695</v>
      </c>
      <c r="F23" s="20"/>
      <c r="G23" s="21"/>
      <c r="H23" s="21">
        <v>23</v>
      </c>
      <c r="I23" s="22">
        <f>IF(OR('Men''s Epée'!$A$3=1,'Men''s Epée'!$S$3=TRUE),IF(OR(H23&gt;=49,ISNUMBER(H23)=FALSE),0,VLOOKUP(H23,PointTable,I$3,TRUE)),0)</f>
        <v>385</v>
      </c>
      <c r="J23" s="21">
        <v>45</v>
      </c>
      <c r="K23" s="22">
        <f>IF(OR('Men''s Epée'!$A$3=1,'Men''s Epée'!$T$3=TRUE),IF(OR(J23&gt;=49,ISNUMBER(J23)=FALSE),0,VLOOKUP(J23,PointTable,K$3,TRUE)),0)</f>
        <v>215</v>
      </c>
      <c r="L23" s="21">
        <v>25</v>
      </c>
      <c r="M23" s="22">
        <f>IF(OR('Men''s Epée'!$A$3=1,'Men''s Epée'!$U$3=TRUE),IF(OR(L23&gt;=49,ISNUMBER(L23)=FALSE),0,VLOOKUP(L23,PointTable,M$3,TRUE)),0)</f>
        <v>310</v>
      </c>
      <c r="N23" s="23"/>
      <c r="O23" s="23"/>
      <c r="P23" s="23"/>
      <c r="Q23" s="24"/>
      <c r="S23" s="25">
        <f t="shared" si="11"/>
        <v>385</v>
      </c>
      <c r="T23" s="25">
        <f t="shared" si="12"/>
        <v>215</v>
      </c>
      <c r="U23" s="25">
        <f t="shared" si="13"/>
        <v>310</v>
      </c>
      <c r="V23" s="25">
        <f>IF(OR('Men''s Epée'!$A$3=1,N23&gt;0),ABS(N23),0)</f>
        <v>0</v>
      </c>
      <c r="W23" s="25">
        <f>IF(OR('Men''s Epée'!$A$3=1,O23&gt;0),ABS(O23),0)</f>
        <v>0</v>
      </c>
      <c r="X23" s="25">
        <f>IF(OR('Men''s Epée'!$A$3=1,P23&gt;0),ABS(P23),0)</f>
        <v>0</v>
      </c>
      <c r="Y23" s="25">
        <f>IF(OR('Men''s Epée'!$A$3=1,Q23&gt;0),ABS(Q23),0)</f>
        <v>0</v>
      </c>
      <c r="AA23" s="12">
        <f>IF('Men''s Epée'!$S$3=TRUE,I23,0)</f>
        <v>385</v>
      </c>
      <c r="AB23" s="12">
        <f>IF('Men''s Epée'!$T$3=TRUE,K23,0)</f>
        <v>215</v>
      </c>
      <c r="AC23" s="12">
        <f>IF('Men''s Epée'!$U$3=TRUE,M23,0)</f>
        <v>310</v>
      </c>
      <c r="AD23" s="26">
        <f t="shared" si="14"/>
        <v>0</v>
      </c>
      <c r="AE23" s="26">
        <f t="shared" si="15"/>
        <v>0</v>
      </c>
      <c r="AF23" s="26">
        <f t="shared" si="16"/>
        <v>0</v>
      </c>
      <c r="AG23" s="26">
        <f t="shared" si="17"/>
        <v>0</v>
      </c>
      <c r="AH23" s="12">
        <f t="shared" si="9"/>
        <v>695</v>
      </c>
    </row>
    <row r="24" spans="1:34" ht="13.5">
      <c r="A24" s="16" t="str">
        <f t="shared" si="0"/>
        <v>20T</v>
      </c>
      <c r="B24" s="16">
        <f t="shared" si="10"/>
      </c>
      <c r="C24" s="17" t="s">
        <v>280</v>
      </c>
      <c r="D24" s="18">
        <v>1981</v>
      </c>
      <c r="E24" s="19">
        <f>ROUND(F24+IF('Men''s Epée'!$A$3=1,G24,0)+LARGE($S24:$Y24,1)+LARGE($S24:$Y24,2),0)</f>
        <v>695</v>
      </c>
      <c r="F24" s="20"/>
      <c r="G24" s="21"/>
      <c r="H24" s="21">
        <v>8</v>
      </c>
      <c r="I24" s="22">
        <f>IF(OR('Men''s Epée'!$A$3=1,'Men''s Epée'!$S$3=TRUE),IF(OR(H24&gt;=49,ISNUMBER(H24)=FALSE),0,VLOOKUP(H24,PointTable,I$3,TRUE)),0)</f>
        <v>695</v>
      </c>
      <c r="J24" s="21" t="s">
        <v>5</v>
      </c>
      <c r="K24" s="22">
        <f>IF(OR('Men''s Epée'!$A$3=1,'Men''s Epée'!$T$3=TRUE),IF(OR(J24&gt;=49,ISNUMBER(J24)=FALSE),0,VLOOKUP(J24,PointTable,K$3,TRUE)),0)</f>
        <v>0</v>
      </c>
      <c r="L24" s="21" t="s">
        <v>5</v>
      </c>
      <c r="M24" s="22">
        <f>IF(OR('Men''s Epée'!$A$3=1,'Men''s Epée'!$U$3=TRUE),IF(OR(L24&gt;=49,ISNUMBER(L24)=FALSE),0,VLOOKUP(L24,PointTable,M$3,TRUE)),0)</f>
        <v>0</v>
      </c>
      <c r="N24" s="23"/>
      <c r="O24" s="23"/>
      <c r="P24" s="23"/>
      <c r="Q24" s="24"/>
      <c r="S24" s="25">
        <f t="shared" si="11"/>
        <v>695</v>
      </c>
      <c r="T24" s="25">
        <f t="shared" si="12"/>
        <v>0</v>
      </c>
      <c r="U24" s="25">
        <f t="shared" si="13"/>
        <v>0</v>
      </c>
      <c r="V24" s="25">
        <f>IF(OR('Men''s Epée'!$A$3=1,N24&gt;0),ABS(N24),0)</f>
        <v>0</v>
      </c>
      <c r="W24" s="25">
        <f>IF(OR('Men''s Epée'!$A$3=1,O24&gt;0),ABS(O24),0)</f>
        <v>0</v>
      </c>
      <c r="X24" s="25">
        <f>IF(OR('Men''s Epée'!$A$3=1,P24&gt;0),ABS(P24),0)</f>
        <v>0</v>
      </c>
      <c r="Y24" s="25">
        <f>IF(OR('Men''s Epée'!$A$3=1,Q24&gt;0),ABS(Q24),0)</f>
        <v>0</v>
      </c>
      <c r="AA24" s="12">
        <f>IF('Men''s Epée'!$S$3=TRUE,I24,0)</f>
        <v>695</v>
      </c>
      <c r="AB24" s="12">
        <f>IF('Men''s Epée'!$T$3=TRUE,K24,0)</f>
        <v>0</v>
      </c>
      <c r="AC24" s="12">
        <f>IF('Men''s Epée'!$U$3=TRUE,M24,0)</f>
        <v>0</v>
      </c>
      <c r="AD24" s="26">
        <f t="shared" si="14"/>
        <v>0</v>
      </c>
      <c r="AE24" s="26">
        <f t="shared" si="15"/>
        <v>0</v>
      </c>
      <c r="AF24" s="26">
        <f t="shared" si="16"/>
        <v>0</v>
      </c>
      <c r="AG24" s="26">
        <f t="shared" si="17"/>
        <v>0</v>
      </c>
      <c r="AH24" s="12">
        <f t="shared" si="9"/>
        <v>695</v>
      </c>
    </row>
    <row r="25" spans="1:34" ht="13.5">
      <c r="A25" s="16" t="str">
        <f t="shared" si="0"/>
        <v>22</v>
      </c>
      <c r="B25" s="16">
        <f t="shared" si="10"/>
      </c>
      <c r="C25" s="17" t="s">
        <v>117</v>
      </c>
      <c r="D25" s="18">
        <v>1976</v>
      </c>
      <c r="E25" s="19">
        <f>ROUND(F25+IF('Men''s Epée'!$A$3=1,G25,0)+LARGE($S25:$Y25,1)+LARGE($S25:$Y25,2),0)</f>
        <v>685</v>
      </c>
      <c r="F25" s="20"/>
      <c r="G25" s="21"/>
      <c r="H25" s="21">
        <v>21</v>
      </c>
      <c r="I25" s="22">
        <f>IF(OR('Men''s Epée'!$A$3=1,'Men''s Epée'!$S$3=TRUE),IF(OR(H25&gt;=49,ISNUMBER(H25)=FALSE),0,VLOOKUP(H25,PointTable,I$3,TRUE)),0)</f>
        <v>395</v>
      </c>
      <c r="J25" s="21">
        <v>30</v>
      </c>
      <c r="K25" s="22">
        <f>IF(OR('Men''s Epée'!$A$3=1,'Men''s Epée'!$T$3=TRUE),IF(OR(J25&gt;=49,ISNUMBER(J25)=FALSE),0,VLOOKUP(J25,PointTable,K$3,TRUE)),0)</f>
        <v>290</v>
      </c>
      <c r="L25" s="21" t="s">
        <v>5</v>
      </c>
      <c r="M25" s="22">
        <f>IF(OR('Men''s Epée'!$A$3=1,'Men''s Epée'!$U$3=TRUE),IF(OR(L25&gt;=49,ISNUMBER(L25)=FALSE),0,VLOOKUP(L25,PointTable,M$3,TRUE)),0)</f>
        <v>0</v>
      </c>
      <c r="N25" s="23"/>
      <c r="O25" s="23"/>
      <c r="P25" s="23"/>
      <c r="Q25" s="24"/>
      <c r="S25" s="25">
        <f t="shared" si="11"/>
        <v>395</v>
      </c>
      <c r="T25" s="25">
        <f t="shared" si="12"/>
        <v>290</v>
      </c>
      <c r="U25" s="25">
        <f t="shared" si="13"/>
        <v>0</v>
      </c>
      <c r="V25" s="25">
        <f>IF(OR('Men''s Epée'!$A$3=1,N25&gt;0),ABS(N25),0)</f>
        <v>0</v>
      </c>
      <c r="W25" s="25">
        <f>IF(OR('Men''s Epée'!$A$3=1,O25&gt;0),ABS(O25),0)</f>
        <v>0</v>
      </c>
      <c r="X25" s="25">
        <f>IF(OR('Men''s Epée'!$A$3=1,P25&gt;0),ABS(P25),0)</f>
        <v>0</v>
      </c>
      <c r="Y25" s="25">
        <f>IF(OR('Men''s Epée'!$A$3=1,Q25&gt;0),ABS(Q25),0)</f>
        <v>0</v>
      </c>
      <c r="AA25" s="12">
        <f>IF('Men''s Epée'!$S$3=TRUE,I25,0)</f>
        <v>395</v>
      </c>
      <c r="AB25" s="12">
        <f>IF('Men''s Epée'!$T$3=TRUE,K25,0)</f>
        <v>290</v>
      </c>
      <c r="AC25" s="12">
        <f>IF('Men''s Epée'!$U$3=TRUE,M25,0)</f>
        <v>0</v>
      </c>
      <c r="AD25" s="26">
        <f t="shared" si="14"/>
        <v>0</v>
      </c>
      <c r="AE25" s="26">
        <f t="shared" si="15"/>
        <v>0</v>
      </c>
      <c r="AF25" s="26">
        <f t="shared" si="16"/>
        <v>0</v>
      </c>
      <c r="AG25" s="26">
        <f t="shared" si="17"/>
        <v>0</v>
      </c>
      <c r="AH25" s="12">
        <f t="shared" si="9"/>
        <v>685</v>
      </c>
    </row>
    <row r="26" spans="1:34" ht="13.5">
      <c r="A26" s="16" t="str">
        <f t="shared" si="0"/>
        <v>23</v>
      </c>
      <c r="B26" s="16" t="str">
        <f aca="true" t="shared" si="18" ref="B26:B35">TRIM(IF(D26&gt;=JuniorCutoff,"#",""))</f>
        <v>#</v>
      </c>
      <c r="C26" s="17" t="s">
        <v>315</v>
      </c>
      <c r="D26" s="18">
        <v>1987</v>
      </c>
      <c r="E26" s="19">
        <f>ROUND(F26+IF('Men''s Epée'!$A$3=1,G26,0)+LARGE($S26:$Y26,1)+LARGE($S26:$Y26,2),0)</f>
        <v>655</v>
      </c>
      <c r="F26" s="20"/>
      <c r="G26" s="21"/>
      <c r="H26" s="21">
        <v>26</v>
      </c>
      <c r="I26" s="22">
        <f>IF(OR('Men''s Epée'!$A$3=1,'Men''s Epée'!$S$3=TRUE),IF(OR(H26&gt;=49,ISNUMBER(H26)=FALSE),0,VLOOKUP(H26,PointTable,I$3,TRUE)),0)</f>
        <v>310</v>
      </c>
      <c r="J26" s="21">
        <v>39</v>
      </c>
      <c r="K26" s="22">
        <f>IF(OR('Men''s Epée'!$A$3=1,'Men''s Epée'!$T$3=TRUE),IF(OR(J26&gt;=49,ISNUMBER(J26)=FALSE),0,VLOOKUP(J26,PointTable,K$3,TRUE)),0)</f>
        <v>245</v>
      </c>
      <c r="L26" s="21">
        <v>18</v>
      </c>
      <c r="M26" s="22">
        <f>IF(OR('Men''s Epée'!$A$3=1,'Men''s Epée'!$U$3=TRUE),IF(OR(L26&gt;=49,ISNUMBER(L26)=FALSE),0,VLOOKUP(L26,PointTable,M$3,TRUE)),0)</f>
        <v>345</v>
      </c>
      <c r="N26" s="23"/>
      <c r="O26" s="23"/>
      <c r="P26" s="23"/>
      <c r="Q26" s="24"/>
      <c r="S26" s="25">
        <f aca="true" t="shared" si="19" ref="S26:S35">I26</f>
        <v>310</v>
      </c>
      <c r="T26" s="25">
        <f aca="true" t="shared" si="20" ref="T26:T35">K26</f>
        <v>245</v>
      </c>
      <c r="U26" s="25">
        <f aca="true" t="shared" si="21" ref="U26:U35">M26</f>
        <v>345</v>
      </c>
      <c r="V26" s="25">
        <f>IF(OR('Men''s Epée'!$A$3=1,N26&gt;0),ABS(N26),0)</f>
        <v>0</v>
      </c>
      <c r="W26" s="25">
        <f>IF(OR('Men''s Epée'!$A$3=1,O26&gt;0),ABS(O26),0)</f>
        <v>0</v>
      </c>
      <c r="X26" s="25">
        <f>IF(OR('Men''s Epée'!$A$3=1,P26&gt;0),ABS(P26),0)</f>
        <v>0</v>
      </c>
      <c r="Y26" s="25">
        <f>IF(OR('Men''s Epée'!$A$3=1,Q26&gt;0),ABS(Q26),0)</f>
        <v>0</v>
      </c>
      <c r="AA26" s="12">
        <f>IF('Men''s Epée'!$S$3=TRUE,I26,0)</f>
        <v>310</v>
      </c>
      <c r="AB26" s="12">
        <f>IF('Men''s Epée'!$T$3=TRUE,K26,0)</f>
        <v>245</v>
      </c>
      <c r="AC26" s="12">
        <f>IF('Men''s Epée'!$U$3=TRUE,M26,0)</f>
        <v>345</v>
      </c>
      <c r="AD26" s="26">
        <f aca="true" t="shared" si="22" ref="AD26:AD35">MAX(N26,0)</f>
        <v>0</v>
      </c>
      <c r="AE26" s="26">
        <f aca="true" t="shared" si="23" ref="AE26:AE35">MAX(O26,0)</f>
        <v>0</v>
      </c>
      <c r="AF26" s="26">
        <f aca="true" t="shared" si="24" ref="AF26:AF35">MAX(P26,0)</f>
        <v>0</v>
      </c>
      <c r="AG26" s="26">
        <f aca="true" t="shared" si="25" ref="AG26:AG35">MAX(Q26,0)</f>
        <v>0</v>
      </c>
      <c r="AH26" s="12">
        <f t="shared" si="9"/>
        <v>655</v>
      </c>
    </row>
    <row r="27" spans="1:34" ht="13.5">
      <c r="A27" s="16" t="str">
        <f t="shared" si="0"/>
        <v>24</v>
      </c>
      <c r="B27" s="16" t="str">
        <f t="shared" si="18"/>
        <v>#</v>
      </c>
      <c r="C27" s="17" t="s">
        <v>312</v>
      </c>
      <c r="D27" s="18">
        <v>1987</v>
      </c>
      <c r="E27" s="19">
        <f>ROUND(F27+IF('Men''s Epée'!$A$3=1,G27,0)+LARGE($S27:$Y27,1)+LARGE($S27:$Y27,2),0)</f>
        <v>645</v>
      </c>
      <c r="F27" s="20"/>
      <c r="G27" s="21"/>
      <c r="H27" s="21" t="s">
        <v>5</v>
      </c>
      <c r="I27" s="22">
        <f>IF(OR('Men''s Epée'!$A$3=1,'Men''s Epée'!$S$3=TRUE),IF(OR(H27&gt;=49,ISNUMBER(H27)=FALSE),0,VLOOKUP(H27,PointTable,I$3,TRUE)),0)</f>
        <v>0</v>
      </c>
      <c r="J27" s="21">
        <v>26</v>
      </c>
      <c r="K27" s="22">
        <f>IF(OR('Men''s Epée'!$A$3=1,'Men''s Epée'!$T$3=TRUE),IF(OR(J27&gt;=49,ISNUMBER(J27)=FALSE),0,VLOOKUP(J27,PointTable,K$3,TRUE)),0)</f>
        <v>310</v>
      </c>
      <c r="L27" s="21">
        <v>20</v>
      </c>
      <c r="M27" s="22">
        <f>IF(OR('Men''s Epée'!$A$3=1,'Men''s Epée'!$U$3=TRUE),IF(OR(L27&gt;=49,ISNUMBER(L27)=FALSE),0,VLOOKUP(L27,PointTable,M$3,TRUE)),0)</f>
        <v>335</v>
      </c>
      <c r="N27" s="23"/>
      <c r="O27" s="23"/>
      <c r="P27" s="23"/>
      <c r="Q27" s="24"/>
      <c r="S27" s="25">
        <f t="shared" si="19"/>
        <v>0</v>
      </c>
      <c r="T27" s="25">
        <f t="shared" si="20"/>
        <v>310</v>
      </c>
      <c r="U27" s="25">
        <f t="shared" si="21"/>
        <v>335</v>
      </c>
      <c r="V27" s="25">
        <f>IF(OR('Men''s Epée'!$A$3=1,N27&gt;0),ABS(N27),0)</f>
        <v>0</v>
      </c>
      <c r="W27" s="25">
        <f>IF(OR('Men''s Epée'!$A$3=1,O27&gt;0),ABS(O27),0)</f>
        <v>0</v>
      </c>
      <c r="X27" s="25">
        <f>IF(OR('Men''s Epée'!$A$3=1,P27&gt;0),ABS(P27),0)</f>
        <v>0</v>
      </c>
      <c r="Y27" s="25">
        <f>IF(OR('Men''s Epée'!$A$3=1,Q27&gt;0),ABS(Q27),0)</f>
        <v>0</v>
      </c>
      <c r="AA27" s="12">
        <f>IF('Men''s Epée'!$S$3=TRUE,I27,0)</f>
        <v>0</v>
      </c>
      <c r="AB27" s="12">
        <f>IF('Men''s Epée'!$T$3=TRUE,K27,0)</f>
        <v>310</v>
      </c>
      <c r="AC27" s="12">
        <f>IF('Men''s Epée'!$U$3=TRUE,M27,0)</f>
        <v>335</v>
      </c>
      <c r="AD27" s="26">
        <f t="shared" si="22"/>
        <v>0</v>
      </c>
      <c r="AE27" s="26">
        <f t="shared" si="23"/>
        <v>0</v>
      </c>
      <c r="AF27" s="26">
        <f t="shared" si="24"/>
        <v>0</v>
      </c>
      <c r="AG27" s="26">
        <f t="shared" si="25"/>
        <v>0</v>
      </c>
      <c r="AH27" s="12">
        <f t="shared" si="9"/>
        <v>645</v>
      </c>
    </row>
    <row r="28" spans="1:34" ht="13.5">
      <c r="A28" s="16" t="str">
        <f t="shared" si="0"/>
        <v>25</v>
      </c>
      <c r="B28" s="16" t="str">
        <f t="shared" si="18"/>
        <v>#</v>
      </c>
      <c r="C28" s="17" t="s">
        <v>285</v>
      </c>
      <c r="D28" s="18">
        <v>1985</v>
      </c>
      <c r="E28" s="19">
        <f>ROUND(F28+IF('Men''s Epée'!$A$3=1,G28,0)+LARGE($S28:$Y28,1)+LARGE($S28:$Y28,2),0)</f>
        <v>625</v>
      </c>
      <c r="F28" s="20"/>
      <c r="G28" s="21"/>
      <c r="H28" s="21">
        <v>40</v>
      </c>
      <c r="I28" s="22">
        <f>IF(OR('Men''s Epée'!$A$3=1,'Men''s Epée'!$S$3=TRUE),IF(OR(H28&gt;=49,ISNUMBER(H28)=FALSE),0,VLOOKUP(H28,PointTable,I$3,TRUE)),0)</f>
        <v>240</v>
      </c>
      <c r="J28" s="21">
        <v>22.33</v>
      </c>
      <c r="K28" s="22">
        <f>IF(OR('Men''s Epée'!$A$3=1,'Men''s Epée'!$T$3=TRUE),IF(OR(J28&gt;=49,ISNUMBER(J28)=FALSE),0,VLOOKUP(J28,PointTable,K$3,TRUE)),0)</f>
        <v>385</v>
      </c>
      <c r="L28" s="21" t="s">
        <v>5</v>
      </c>
      <c r="M28" s="22">
        <f>IF(OR('Men''s Epée'!$A$3=1,'Men''s Epée'!$U$3=TRUE),IF(OR(L28&gt;=49,ISNUMBER(L28)=FALSE),0,VLOOKUP(L28,PointTable,M$3,TRUE)),0)</f>
        <v>0</v>
      </c>
      <c r="N28" s="23"/>
      <c r="O28" s="23"/>
      <c r="P28" s="23"/>
      <c r="Q28" s="24"/>
      <c r="S28" s="25">
        <f t="shared" si="19"/>
        <v>240</v>
      </c>
      <c r="T28" s="25">
        <f t="shared" si="20"/>
        <v>385</v>
      </c>
      <c r="U28" s="25">
        <f t="shared" si="21"/>
        <v>0</v>
      </c>
      <c r="V28" s="25">
        <f>IF(OR('Men''s Epée'!$A$3=1,N28&gt;0),ABS(N28),0)</f>
        <v>0</v>
      </c>
      <c r="W28" s="25">
        <f>IF(OR('Men''s Epée'!$A$3=1,O28&gt;0),ABS(O28),0)</f>
        <v>0</v>
      </c>
      <c r="X28" s="25">
        <f>IF(OR('Men''s Epée'!$A$3=1,P28&gt;0),ABS(P28),0)</f>
        <v>0</v>
      </c>
      <c r="Y28" s="25">
        <f>IF(OR('Men''s Epée'!$A$3=1,Q28&gt;0),ABS(Q28),0)</f>
        <v>0</v>
      </c>
      <c r="AA28" s="12">
        <f>IF('Men''s Epée'!$S$3=TRUE,I28,0)</f>
        <v>240</v>
      </c>
      <c r="AB28" s="12">
        <f>IF('Men''s Epée'!$T$3=TRUE,K28,0)</f>
        <v>385</v>
      </c>
      <c r="AC28" s="12">
        <f>IF('Men''s Epée'!$U$3=TRUE,M28,0)</f>
        <v>0</v>
      </c>
      <c r="AD28" s="26">
        <f t="shared" si="22"/>
        <v>0</v>
      </c>
      <c r="AE28" s="26">
        <f t="shared" si="23"/>
        <v>0</v>
      </c>
      <c r="AF28" s="26">
        <f t="shared" si="24"/>
        <v>0</v>
      </c>
      <c r="AG28" s="26">
        <f t="shared" si="25"/>
        <v>0</v>
      </c>
      <c r="AH28" s="12">
        <f t="shared" si="9"/>
        <v>625</v>
      </c>
    </row>
    <row r="29" spans="1:34" ht="13.5">
      <c r="A29" s="16" t="str">
        <f t="shared" si="0"/>
        <v>26</v>
      </c>
      <c r="B29" s="16" t="str">
        <f t="shared" si="18"/>
        <v>#</v>
      </c>
      <c r="C29" s="17" t="s">
        <v>231</v>
      </c>
      <c r="D29" s="18">
        <v>1985</v>
      </c>
      <c r="E29" s="19">
        <f>ROUND(F29+IF('Men''s Epée'!$A$3=1,G29,0)+LARGE($S29:$Y29,1)+LARGE($S29:$Y29,2),0)</f>
        <v>620</v>
      </c>
      <c r="F29" s="20"/>
      <c r="G29" s="21"/>
      <c r="H29" s="21">
        <v>27</v>
      </c>
      <c r="I29" s="22">
        <f>IF(OR('Men''s Epée'!$A$3=1,'Men''s Epée'!$S$3=TRUE),IF(OR(H29&gt;=49,ISNUMBER(H29)=FALSE),0,VLOOKUP(H29,PointTable,I$3,TRUE)),0)</f>
        <v>305</v>
      </c>
      <c r="J29" s="21">
        <v>25</v>
      </c>
      <c r="K29" s="22">
        <f>IF(OR('Men''s Epée'!$A$3=1,'Men''s Epée'!$T$3=TRUE),IF(OR(J29&gt;=49,ISNUMBER(J29)=FALSE),0,VLOOKUP(J29,PointTable,K$3,TRUE)),0)</f>
        <v>315</v>
      </c>
      <c r="L29" s="21" t="s">
        <v>5</v>
      </c>
      <c r="M29" s="22">
        <f>IF(OR('Men''s Epée'!$A$3=1,'Men''s Epée'!$U$3=TRUE),IF(OR(L29&gt;=49,ISNUMBER(L29)=FALSE),0,VLOOKUP(L29,PointTable,M$3,TRUE)),0)</f>
        <v>0</v>
      </c>
      <c r="N29" s="23"/>
      <c r="O29" s="23"/>
      <c r="P29" s="23"/>
      <c r="Q29" s="24"/>
      <c r="S29" s="25">
        <f t="shared" si="19"/>
        <v>305</v>
      </c>
      <c r="T29" s="25">
        <f t="shared" si="20"/>
        <v>315</v>
      </c>
      <c r="U29" s="25">
        <f t="shared" si="21"/>
        <v>0</v>
      </c>
      <c r="V29" s="25">
        <f>IF(OR('Men''s Epée'!$A$3=1,N29&gt;0),ABS(N29),0)</f>
        <v>0</v>
      </c>
      <c r="W29" s="25">
        <f>IF(OR('Men''s Epée'!$A$3=1,O29&gt;0),ABS(O29),0)</f>
        <v>0</v>
      </c>
      <c r="X29" s="25">
        <f>IF(OR('Men''s Epée'!$A$3=1,P29&gt;0),ABS(P29),0)</f>
        <v>0</v>
      </c>
      <c r="Y29" s="25">
        <f>IF(OR('Men''s Epée'!$A$3=1,Q29&gt;0),ABS(Q29),0)</f>
        <v>0</v>
      </c>
      <c r="AA29" s="12">
        <f>IF('Men''s Epée'!$S$3=TRUE,I29,0)</f>
        <v>305</v>
      </c>
      <c r="AB29" s="12">
        <f>IF('Men''s Epée'!$T$3=TRUE,K29,0)</f>
        <v>315</v>
      </c>
      <c r="AC29" s="12">
        <f>IF('Men''s Epée'!$U$3=TRUE,M29,0)</f>
        <v>0</v>
      </c>
      <c r="AD29" s="26">
        <f t="shared" si="22"/>
        <v>0</v>
      </c>
      <c r="AE29" s="26">
        <f t="shared" si="23"/>
        <v>0</v>
      </c>
      <c r="AF29" s="26">
        <f t="shared" si="24"/>
        <v>0</v>
      </c>
      <c r="AG29" s="26">
        <f t="shared" si="25"/>
        <v>0</v>
      </c>
      <c r="AH29" s="12">
        <f t="shared" si="9"/>
        <v>620</v>
      </c>
    </row>
    <row r="30" spans="1:34" ht="13.5">
      <c r="A30" s="16" t="str">
        <f t="shared" si="0"/>
        <v>27T</v>
      </c>
      <c r="B30" s="16">
        <f t="shared" si="18"/>
      </c>
      <c r="C30" s="17" t="s">
        <v>80</v>
      </c>
      <c r="D30" s="18">
        <v>1974</v>
      </c>
      <c r="E30" s="19">
        <f>ROUND(F30+IF('Men''s Epée'!$A$3=1,G30,0)+LARGE($S30:$Y30,1)+LARGE($S30:$Y30,2),0)</f>
        <v>605</v>
      </c>
      <c r="F30" s="20"/>
      <c r="G30" s="21"/>
      <c r="H30" s="21">
        <v>30</v>
      </c>
      <c r="I30" s="22">
        <f>IF(OR('Men''s Epée'!$A$3=1,'Men''s Epée'!$S$3=TRUE),IF(OR(H30&gt;=49,ISNUMBER(H30)=FALSE),0,VLOOKUP(H30,PointTable,I$3,TRUE)),0)</f>
        <v>290</v>
      </c>
      <c r="J30" s="21" t="s">
        <v>5</v>
      </c>
      <c r="K30" s="22">
        <f>IF(OR('Men''s Epée'!$A$3=1,'Men''s Epée'!$T$3=TRUE),IF(OR(J30&gt;=49,ISNUMBER(J30)=FALSE),0,VLOOKUP(J30,PointTable,K$3,TRUE)),0)</f>
        <v>0</v>
      </c>
      <c r="L30" s="21">
        <v>24</v>
      </c>
      <c r="M30" s="22">
        <f>IF(OR('Men''s Epée'!$A$3=1,'Men''s Epée'!$U$3=TRUE),IF(OR(L30&gt;=49,ISNUMBER(L30)=FALSE),0,VLOOKUP(L30,PointTable,M$3,TRUE)),0)</f>
        <v>315</v>
      </c>
      <c r="N30" s="23"/>
      <c r="O30" s="23"/>
      <c r="P30" s="23"/>
      <c r="Q30" s="24"/>
      <c r="S30" s="25">
        <f t="shared" si="19"/>
        <v>290</v>
      </c>
      <c r="T30" s="25">
        <f t="shared" si="20"/>
        <v>0</v>
      </c>
      <c r="U30" s="25">
        <f t="shared" si="21"/>
        <v>315</v>
      </c>
      <c r="V30" s="25">
        <f>IF(OR('Men''s Epée'!$A$3=1,N30&gt;0),ABS(N30),0)</f>
        <v>0</v>
      </c>
      <c r="W30" s="25">
        <f>IF(OR('Men''s Epée'!$A$3=1,O30&gt;0),ABS(O30),0)</f>
        <v>0</v>
      </c>
      <c r="X30" s="25">
        <f>IF(OR('Men''s Epée'!$A$3=1,P30&gt;0),ABS(P30),0)</f>
        <v>0</v>
      </c>
      <c r="Y30" s="25">
        <f>IF(OR('Men''s Epée'!$A$3=1,Q30&gt;0),ABS(Q30),0)</f>
        <v>0</v>
      </c>
      <c r="AA30" s="12">
        <f>IF('Men''s Epée'!$S$3=TRUE,I30,0)</f>
        <v>290</v>
      </c>
      <c r="AB30" s="12">
        <f>IF('Men''s Epée'!$T$3=TRUE,K30,0)</f>
        <v>0</v>
      </c>
      <c r="AC30" s="12">
        <f>IF('Men''s Epée'!$U$3=TRUE,M30,0)</f>
        <v>315</v>
      </c>
      <c r="AD30" s="26">
        <f t="shared" si="22"/>
        <v>0</v>
      </c>
      <c r="AE30" s="26">
        <f t="shared" si="23"/>
        <v>0</v>
      </c>
      <c r="AF30" s="26">
        <f t="shared" si="24"/>
        <v>0</v>
      </c>
      <c r="AG30" s="26">
        <f t="shared" si="25"/>
        <v>0</v>
      </c>
      <c r="AH30" s="12">
        <f t="shared" si="9"/>
        <v>605</v>
      </c>
    </row>
    <row r="31" spans="1:34" ht="13.5">
      <c r="A31" s="16" t="str">
        <f t="shared" si="0"/>
        <v>27T</v>
      </c>
      <c r="B31" s="16">
        <f t="shared" si="18"/>
      </c>
      <c r="C31" s="17" t="s">
        <v>283</v>
      </c>
      <c r="D31" s="18">
        <v>1981</v>
      </c>
      <c r="E31" s="19">
        <f>ROUND(F31+IF('Men''s Epée'!$A$3=1,G31,0)+LARGE($S31:$Y31,1)+LARGE($S31:$Y31,2),0)</f>
        <v>605</v>
      </c>
      <c r="F31" s="20"/>
      <c r="G31" s="21"/>
      <c r="H31" s="21">
        <v>25</v>
      </c>
      <c r="I31" s="22">
        <f>IF(OR('Men''s Epée'!$A$3=1,'Men''s Epée'!$S$3=TRUE),IF(OR(H31&gt;=49,ISNUMBER(H31)=FALSE),0,VLOOKUP(H31,PointTable,I$3,TRUE)),0)</f>
        <v>315</v>
      </c>
      <c r="J31" s="21" t="s">
        <v>5</v>
      </c>
      <c r="K31" s="22">
        <f>IF(OR('Men''s Epée'!$A$3=1,'Men''s Epée'!$T$3=TRUE),IF(OR(J31&gt;=49,ISNUMBER(J31)=FALSE),0,VLOOKUP(J31,PointTable,K$3,TRUE)),0)</f>
        <v>0</v>
      </c>
      <c r="L31" s="21">
        <v>29</v>
      </c>
      <c r="M31" s="22">
        <f>IF(OR('Men''s Epée'!$A$3=1,'Men''s Epée'!$U$3=TRUE),IF(OR(L31&gt;=49,ISNUMBER(L31)=FALSE),0,VLOOKUP(L31,PointTable,M$3,TRUE)),0)</f>
        <v>290</v>
      </c>
      <c r="N31" s="23"/>
      <c r="O31" s="23"/>
      <c r="P31" s="23"/>
      <c r="Q31" s="24"/>
      <c r="S31" s="25">
        <f t="shared" si="19"/>
        <v>315</v>
      </c>
      <c r="T31" s="25">
        <f t="shared" si="20"/>
        <v>0</v>
      </c>
      <c r="U31" s="25">
        <f t="shared" si="21"/>
        <v>290</v>
      </c>
      <c r="V31" s="25">
        <f>IF(OR('Men''s Epée'!$A$3=1,N31&gt;0),ABS(N31),0)</f>
        <v>0</v>
      </c>
      <c r="W31" s="25">
        <f>IF(OR('Men''s Epée'!$A$3=1,O31&gt;0),ABS(O31),0)</f>
        <v>0</v>
      </c>
      <c r="X31" s="25">
        <f>IF(OR('Men''s Epée'!$A$3=1,P31&gt;0),ABS(P31),0)</f>
        <v>0</v>
      </c>
      <c r="Y31" s="25">
        <f>IF(OR('Men''s Epée'!$A$3=1,Q31&gt;0),ABS(Q31),0)</f>
        <v>0</v>
      </c>
      <c r="AA31" s="12">
        <f>IF('Men''s Epée'!$S$3=TRUE,I31,0)</f>
        <v>315</v>
      </c>
      <c r="AB31" s="12">
        <f>IF('Men''s Epée'!$T$3=TRUE,K31,0)</f>
        <v>0</v>
      </c>
      <c r="AC31" s="12">
        <f>IF('Men''s Epée'!$U$3=TRUE,M31,0)</f>
        <v>290</v>
      </c>
      <c r="AD31" s="26">
        <f t="shared" si="22"/>
        <v>0</v>
      </c>
      <c r="AE31" s="26">
        <f t="shared" si="23"/>
        <v>0</v>
      </c>
      <c r="AF31" s="26">
        <f t="shared" si="24"/>
        <v>0</v>
      </c>
      <c r="AG31" s="26">
        <f t="shared" si="25"/>
        <v>0</v>
      </c>
      <c r="AH31" s="12">
        <f t="shared" si="9"/>
        <v>605</v>
      </c>
    </row>
    <row r="32" spans="1:34" ht="13.5">
      <c r="A32" s="16" t="str">
        <f t="shared" si="0"/>
        <v>29</v>
      </c>
      <c r="B32" s="16" t="str">
        <f t="shared" si="18"/>
        <v>#</v>
      </c>
      <c r="C32" s="17" t="s">
        <v>313</v>
      </c>
      <c r="D32" s="18">
        <v>1984</v>
      </c>
      <c r="E32" s="19">
        <f>ROUND(F32+IF('Men''s Epée'!$A$3=1,G32,0)+LARGE($S32:$Y32,1)+LARGE($S32:$Y32,2),0)</f>
        <v>600</v>
      </c>
      <c r="F32" s="20"/>
      <c r="G32" s="21"/>
      <c r="H32" s="21" t="s">
        <v>5</v>
      </c>
      <c r="I32" s="22">
        <f>IF(OR('Men''s Epée'!$A$3=1,'Men''s Epée'!$S$3=TRUE),IF(OR(H32&gt;=49,ISNUMBER(H32)=FALSE),0,VLOOKUP(H32,PointTable,I$3,TRUE)),0)</f>
        <v>0</v>
      </c>
      <c r="J32" s="21">
        <v>29</v>
      </c>
      <c r="K32" s="22">
        <f>IF(OR('Men''s Epée'!$A$3=1,'Men''s Epée'!$T$3=TRUE),IF(OR(J32&gt;=49,ISNUMBER(J32)=FALSE),0,VLOOKUP(J32,PointTable,K$3,TRUE)),0)</f>
        <v>295</v>
      </c>
      <c r="L32" s="21">
        <v>26</v>
      </c>
      <c r="M32" s="22">
        <f>IF(OR('Men''s Epée'!$A$3=1,'Men''s Epée'!$U$3=TRUE),IF(OR(L32&gt;=49,ISNUMBER(L32)=FALSE),0,VLOOKUP(L32,PointTable,M$3,TRUE)),0)</f>
        <v>305</v>
      </c>
      <c r="N32" s="23"/>
      <c r="O32" s="23"/>
      <c r="P32" s="23"/>
      <c r="Q32" s="24"/>
      <c r="S32" s="25">
        <f t="shared" si="19"/>
        <v>0</v>
      </c>
      <c r="T32" s="25">
        <f t="shared" si="20"/>
        <v>295</v>
      </c>
      <c r="U32" s="25">
        <f t="shared" si="21"/>
        <v>305</v>
      </c>
      <c r="V32" s="25">
        <f>IF(OR('Men''s Epée'!$A$3=1,N32&gt;0),ABS(N32),0)</f>
        <v>0</v>
      </c>
      <c r="W32" s="25">
        <f>IF(OR('Men''s Epée'!$A$3=1,O32&gt;0),ABS(O32),0)</f>
        <v>0</v>
      </c>
      <c r="X32" s="25">
        <f>IF(OR('Men''s Epée'!$A$3=1,P32&gt;0),ABS(P32),0)</f>
        <v>0</v>
      </c>
      <c r="Y32" s="25">
        <f>IF(OR('Men''s Epée'!$A$3=1,Q32&gt;0),ABS(Q32),0)</f>
        <v>0</v>
      </c>
      <c r="AA32" s="12">
        <f>IF('Men''s Epée'!$S$3=TRUE,I32,0)</f>
        <v>0</v>
      </c>
      <c r="AB32" s="12">
        <f>IF('Men''s Epée'!$T$3=TRUE,K32,0)</f>
        <v>295</v>
      </c>
      <c r="AC32" s="12">
        <f>IF('Men''s Epée'!$U$3=TRUE,M32,0)</f>
        <v>305</v>
      </c>
      <c r="AD32" s="26">
        <f t="shared" si="22"/>
        <v>0</v>
      </c>
      <c r="AE32" s="26">
        <f t="shared" si="23"/>
        <v>0</v>
      </c>
      <c r="AF32" s="26">
        <f t="shared" si="24"/>
        <v>0</v>
      </c>
      <c r="AG32" s="26">
        <f t="shared" si="25"/>
        <v>0</v>
      </c>
      <c r="AH32" s="12">
        <f t="shared" si="9"/>
        <v>600</v>
      </c>
    </row>
    <row r="33" spans="1:34" ht="13.5">
      <c r="A33" s="16" t="str">
        <f t="shared" si="0"/>
        <v>30</v>
      </c>
      <c r="B33" s="16">
        <f t="shared" si="18"/>
      </c>
      <c r="C33" s="17" t="s">
        <v>134</v>
      </c>
      <c r="D33" s="18">
        <v>1970</v>
      </c>
      <c r="E33" s="19">
        <f>ROUND(F33+IF('Men''s Epée'!$A$3=1,G33,0)+LARGE($S33:$Y33,1)+LARGE($S33:$Y33,2),0)</f>
        <v>578</v>
      </c>
      <c r="F33" s="20"/>
      <c r="G33" s="21"/>
      <c r="H33" s="21">
        <v>28.5</v>
      </c>
      <c r="I33" s="22">
        <f>IF(OR('Men''s Epée'!$A$3=1,'Men''s Epée'!$S$3=TRUE),IF(OR(H33&gt;=49,ISNUMBER(H33)=FALSE),0,VLOOKUP(H33,PointTable,I$3,TRUE)),0)</f>
        <v>297.5</v>
      </c>
      <c r="J33" s="21">
        <v>32</v>
      </c>
      <c r="K33" s="22">
        <f>IF(OR('Men''s Epée'!$A$3=1,'Men''s Epée'!$T$3=TRUE),IF(OR(J33&gt;=49,ISNUMBER(J33)=FALSE),0,VLOOKUP(J33,PointTable,K$3,TRUE)),0)</f>
        <v>280</v>
      </c>
      <c r="L33" s="21" t="s">
        <v>5</v>
      </c>
      <c r="M33" s="22">
        <f>IF(OR('Men''s Epée'!$A$3=1,'Men''s Epée'!$U$3=TRUE),IF(OR(L33&gt;=49,ISNUMBER(L33)=FALSE),0,VLOOKUP(L33,PointTable,M$3,TRUE)),0)</f>
        <v>0</v>
      </c>
      <c r="N33" s="23"/>
      <c r="O33" s="23"/>
      <c r="P33" s="23"/>
      <c r="Q33" s="24"/>
      <c r="S33" s="25">
        <f t="shared" si="19"/>
        <v>297.5</v>
      </c>
      <c r="T33" s="25">
        <f t="shared" si="20"/>
        <v>280</v>
      </c>
      <c r="U33" s="25">
        <f t="shared" si="21"/>
        <v>0</v>
      </c>
      <c r="V33" s="25">
        <f>IF(OR('Men''s Epée'!$A$3=1,N33&gt;0),ABS(N33),0)</f>
        <v>0</v>
      </c>
      <c r="W33" s="25">
        <f>IF(OR('Men''s Epée'!$A$3=1,O33&gt;0),ABS(O33),0)</f>
        <v>0</v>
      </c>
      <c r="X33" s="25">
        <f>IF(OR('Men''s Epée'!$A$3=1,P33&gt;0),ABS(P33),0)</f>
        <v>0</v>
      </c>
      <c r="Y33" s="25">
        <f>IF(OR('Men''s Epée'!$A$3=1,Q33&gt;0),ABS(Q33),0)</f>
        <v>0</v>
      </c>
      <c r="AA33" s="12">
        <f>IF('Men''s Epée'!$S$3=TRUE,I33,0)</f>
        <v>297.5</v>
      </c>
      <c r="AB33" s="12">
        <f>IF('Men''s Epée'!$T$3=TRUE,K33,0)</f>
        <v>280</v>
      </c>
      <c r="AC33" s="12">
        <f>IF('Men''s Epée'!$U$3=TRUE,M33,0)</f>
        <v>0</v>
      </c>
      <c r="AD33" s="26">
        <f t="shared" si="22"/>
        <v>0</v>
      </c>
      <c r="AE33" s="26">
        <f t="shared" si="23"/>
        <v>0</v>
      </c>
      <c r="AF33" s="26">
        <f t="shared" si="24"/>
        <v>0</v>
      </c>
      <c r="AG33" s="26">
        <f t="shared" si="25"/>
        <v>0</v>
      </c>
      <c r="AH33" s="12">
        <f t="shared" si="9"/>
        <v>578</v>
      </c>
    </row>
    <row r="34" spans="1:34" ht="13.5">
      <c r="A34" s="16" t="str">
        <f t="shared" si="0"/>
        <v>31T</v>
      </c>
      <c r="B34" s="16">
        <f t="shared" si="18"/>
      </c>
      <c r="C34" s="17" t="s">
        <v>74</v>
      </c>
      <c r="D34" s="18">
        <v>1977</v>
      </c>
      <c r="E34" s="19">
        <f>ROUND(F34+IF('Men''s Epée'!$A$3=1,G34,0)+LARGE($S34:$Y34,1)+LARGE($S34:$Y34,2),0)</f>
        <v>575</v>
      </c>
      <c r="F34" s="20"/>
      <c r="G34" s="21"/>
      <c r="H34" s="21" t="s">
        <v>5</v>
      </c>
      <c r="I34" s="22">
        <f>IF(OR('Men''s Epée'!$A$3=1,'Men''s Epée'!$S$3=TRUE),IF(OR(H34&gt;=49,ISNUMBER(H34)=FALSE),0,VLOOKUP(H34,PointTable,I$3,TRUE)),0)</f>
        <v>0</v>
      </c>
      <c r="J34" s="21">
        <v>12</v>
      </c>
      <c r="K34" s="22">
        <f>IF(OR('Men''s Epée'!$A$3=1,'Men''s Epée'!$T$3=TRUE),IF(OR(J34&gt;=49,ISNUMBER(J34)=FALSE),0,VLOOKUP(J34,PointTable,K$3,TRUE)),0)</f>
        <v>575</v>
      </c>
      <c r="L34" s="21" t="s">
        <v>5</v>
      </c>
      <c r="M34" s="22">
        <f>IF(OR('Men''s Epée'!$A$3=1,'Men''s Epée'!$U$3=TRUE),IF(OR(L34&gt;=49,ISNUMBER(L34)=FALSE),0,VLOOKUP(L34,PointTable,M$3,TRUE)),0)</f>
        <v>0</v>
      </c>
      <c r="N34" s="23"/>
      <c r="O34" s="23"/>
      <c r="P34" s="23"/>
      <c r="Q34" s="24"/>
      <c r="S34" s="25">
        <f t="shared" si="19"/>
        <v>0</v>
      </c>
      <c r="T34" s="25">
        <f t="shared" si="20"/>
        <v>575</v>
      </c>
      <c r="U34" s="25">
        <f t="shared" si="21"/>
        <v>0</v>
      </c>
      <c r="V34" s="25">
        <f>IF(OR('Men''s Epée'!$A$3=1,N34&gt;0),ABS(N34),0)</f>
        <v>0</v>
      </c>
      <c r="W34" s="25">
        <f>IF(OR('Men''s Epée'!$A$3=1,O34&gt;0),ABS(O34),0)</f>
        <v>0</v>
      </c>
      <c r="X34" s="25">
        <f>IF(OR('Men''s Epée'!$A$3=1,P34&gt;0),ABS(P34),0)</f>
        <v>0</v>
      </c>
      <c r="Y34" s="25">
        <f>IF(OR('Men''s Epée'!$A$3=1,Q34&gt;0),ABS(Q34),0)</f>
        <v>0</v>
      </c>
      <c r="AA34" s="12">
        <f>IF('Men''s Epée'!$S$3=TRUE,I34,0)</f>
        <v>0</v>
      </c>
      <c r="AB34" s="12">
        <f>IF('Men''s Epée'!$T$3=TRUE,K34,0)</f>
        <v>575</v>
      </c>
      <c r="AC34" s="12">
        <f>IF('Men''s Epée'!$U$3=TRUE,M34,0)</f>
        <v>0</v>
      </c>
      <c r="AD34" s="26">
        <f t="shared" si="22"/>
        <v>0</v>
      </c>
      <c r="AE34" s="26">
        <f t="shared" si="23"/>
        <v>0</v>
      </c>
      <c r="AF34" s="26">
        <f t="shared" si="24"/>
        <v>0</v>
      </c>
      <c r="AG34" s="26">
        <f t="shared" si="25"/>
        <v>0</v>
      </c>
      <c r="AH34" s="12">
        <f t="shared" si="9"/>
        <v>575</v>
      </c>
    </row>
    <row r="35" spans="1:34" ht="13.5">
      <c r="A35" s="16" t="str">
        <f t="shared" si="0"/>
        <v>31T</v>
      </c>
      <c r="B35" s="16">
        <f t="shared" si="18"/>
      </c>
      <c r="C35" s="17" t="s">
        <v>286</v>
      </c>
      <c r="D35" s="18">
        <v>1966</v>
      </c>
      <c r="E35" s="19">
        <f>ROUND(F35+IF('Men''s Epée'!$A$3=1,G35,0)+LARGE($S35:$Y35,1)+LARGE($S35:$Y35,2),0)</f>
        <v>575</v>
      </c>
      <c r="F35" s="20"/>
      <c r="G35" s="21"/>
      <c r="H35" s="21">
        <v>41</v>
      </c>
      <c r="I35" s="22">
        <f>IF(OR('Men''s Epée'!$A$3=1,'Men''s Epée'!$S$3=TRUE),IF(OR(H35&gt;=49,ISNUMBER(H35)=FALSE),0,VLOOKUP(H35,PointTable,I$3,TRUE)),0)</f>
        <v>235</v>
      </c>
      <c r="J35" s="21" t="s">
        <v>5</v>
      </c>
      <c r="K35" s="22">
        <f>IF(OR('Men''s Epée'!$A$3=1,'Men''s Epée'!$T$3=TRUE),IF(OR(J35&gt;=49,ISNUMBER(J35)=FALSE),0,VLOOKUP(J35,PointTable,K$3,TRUE)),0)</f>
        <v>0</v>
      </c>
      <c r="L35" s="21">
        <v>19</v>
      </c>
      <c r="M35" s="22">
        <f>IF(OR('Men''s Epée'!$A$3=1,'Men''s Epée'!$U$3=TRUE),IF(OR(L35&gt;=49,ISNUMBER(L35)=FALSE),0,VLOOKUP(L35,PointTable,M$3,TRUE)),0)</f>
        <v>340</v>
      </c>
      <c r="N35" s="23"/>
      <c r="O35" s="23"/>
      <c r="P35" s="23"/>
      <c r="Q35" s="24"/>
      <c r="S35" s="25">
        <f t="shared" si="19"/>
        <v>235</v>
      </c>
      <c r="T35" s="25">
        <f t="shared" si="20"/>
        <v>0</v>
      </c>
      <c r="U35" s="25">
        <f t="shared" si="21"/>
        <v>340</v>
      </c>
      <c r="V35" s="25">
        <f>IF(OR('Men''s Epée'!$A$3=1,N35&gt;0),ABS(N35),0)</f>
        <v>0</v>
      </c>
      <c r="W35" s="25">
        <f>IF(OR('Men''s Epée'!$A$3=1,O35&gt;0),ABS(O35),0)</f>
        <v>0</v>
      </c>
      <c r="X35" s="25">
        <f>IF(OR('Men''s Epée'!$A$3=1,P35&gt;0),ABS(P35),0)</f>
        <v>0</v>
      </c>
      <c r="Y35" s="25">
        <f>IF(OR('Men''s Epée'!$A$3=1,Q35&gt;0),ABS(Q35),0)</f>
        <v>0</v>
      </c>
      <c r="AA35" s="12">
        <f>IF('Men''s Epée'!$S$3=TRUE,I35,0)</f>
        <v>235</v>
      </c>
      <c r="AB35" s="12">
        <f>IF('Men''s Epée'!$T$3=TRUE,K35,0)</f>
        <v>0</v>
      </c>
      <c r="AC35" s="12">
        <f>IF('Men''s Epée'!$U$3=TRUE,M35,0)</f>
        <v>340</v>
      </c>
      <c r="AD35" s="26">
        <f t="shared" si="22"/>
        <v>0</v>
      </c>
      <c r="AE35" s="26">
        <f t="shared" si="23"/>
        <v>0</v>
      </c>
      <c r="AF35" s="26">
        <f t="shared" si="24"/>
        <v>0</v>
      </c>
      <c r="AG35" s="26">
        <f t="shared" si="25"/>
        <v>0</v>
      </c>
      <c r="AH35" s="12">
        <f t="shared" si="9"/>
        <v>575</v>
      </c>
    </row>
    <row r="36" spans="1:34" ht="13.5">
      <c r="A36" s="16" t="str">
        <f t="shared" si="0"/>
        <v>31T</v>
      </c>
      <c r="B36" s="16" t="str">
        <f aca="true" t="shared" si="26" ref="B36:B45">TRIM(IF(D36&gt;=JuniorCutoff,"#",""))</f>
        <v>#</v>
      </c>
      <c r="C36" s="17" t="s">
        <v>83</v>
      </c>
      <c r="D36" s="18">
        <v>1984</v>
      </c>
      <c r="E36" s="19">
        <f>ROUND(F36+IF('Men''s Epée'!$A$3=1,G36,0)+LARGE($S36:$Y36,1)+LARGE($S36:$Y36,2),0)</f>
        <v>575</v>
      </c>
      <c r="F36" s="20"/>
      <c r="G36" s="21"/>
      <c r="H36" s="21">
        <v>12</v>
      </c>
      <c r="I36" s="22">
        <f>IF(OR('Men''s Epée'!$A$3=1,'Men''s Epée'!$S$3=TRUE),IF(OR(H36&gt;=49,ISNUMBER(H36)=FALSE),0,VLOOKUP(H36,PointTable,I$3,TRUE)),0)</f>
        <v>575</v>
      </c>
      <c r="J36" s="21" t="s">
        <v>5</v>
      </c>
      <c r="K36" s="22">
        <f>IF(OR('Men''s Epée'!$A$3=1,'Men''s Epée'!$T$3=TRUE),IF(OR(J36&gt;=49,ISNUMBER(J36)=FALSE),0,VLOOKUP(J36,PointTable,K$3,TRUE)),0)</f>
        <v>0</v>
      </c>
      <c r="L36" s="21" t="s">
        <v>5</v>
      </c>
      <c r="M36" s="22">
        <f>IF(OR('Men''s Epée'!$A$3=1,'Men''s Epée'!$U$3=TRUE),IF(OR(L36&gt;=49,ISNUMBER(L36)=FALSE),0,VLOOKUP(L36,PointTable,M$3,TRUE)),0)</f>
        <v>0</v>
      </c>
      <c r="N36" s="23"/>
      <c r="O36" s="23"/>
      <c r="P36" s="23"/>
      <c r="Q36" s="24"/>
      <c r="S36" s="25">
        <f aca="true" t="shared" si="27" ref="S36:S45">I36</f>
        <v>575</v>
      </c>
      <c r="T36" s="25">
        <f aca="true" t="shared" si="28" ref="T36:T45">K36</f>
        <v>0</v>
      </c>
      <c r="U36" s="25">
        <f aca="true" t="shared" si="29" ref="U36:U45">M36</f>
        <v>0</v>
      </c>
      <c r="V36" s="25">
        <f>IF(OR('Men''s Epée'!$A$3=1,N36&gt;0),ABS(N36),0)</f>
        <v>0</v>
      </c>
      <c r="W36" s="25">
        <f>IF(OR('Men''s Epée'!$A$3=1,O36&gt;0),ABS(O36),0)</f>
        <v>0</v>
      </c>
      <c r="X36" s="25">
        <f>IF(OR('Men''s Epée'!$A$3=1,P36&gt;0),ABS(P36),0)</f>
        <v>0</v>
      </c>
      <c r="Y36" s="25">
        <f>IF(OR('Men''s Epée'!$A$3=1,Q36&gt;0),ABS(Q36),0)</f>
        <v>0</v>
      </c>
      <c r="AA36" s="12">
        <f>IF('Men''s Epée'!$S$3=TRUE,I36,0)</f>
        <v>575</v>
      </c>
      <c r="AB36" s="12">
        <f>IF('Men''s Epée'!$T$3=TRUE,K36,0)</f>
        <v>0</v>
      </c>
      <c r="AC36" s="12">
        <f>IF('Men''s Epée'!$U$3=TRUE,M36,0)</f>
        <v>0</v>
      </c>
      <c r="AD36" s="26">
        <f aca="true" t="shared" si="30" ref="AD36:AD45">MAX(N36,0)</f>
        <v>0</v>
      </c>
      <c r="AE36" s="26">
        <f aca="true" t="shared" si="31" ref="AE36:AE45">MAX(O36,0)</f>
        <v>0</v>
      </c>
      <c r="AF36" s="26">
        <f aca="true" t="shared" si="32" ref="AF36:AF45">MAX(P36,0)</f>
        <v>0</v>
      </c>
      <c r="AG36" s="26">
        <f aca="true" t="shared" si="33" ref="AG36:AG45">MAX(Q36,0)</f>
        <v>0</v>
      </c>
      <c r="AH36" s="12">
        <f t="shared" si="9"/>
        <v>575</v>
      </c>
    </row>
    <row r="37" spans="1:34" ht="13.5">
      <c r="A37" s="16" t="str">
        <f t="shared" si="0"/>
        <v>34</v>
      </c>
      <c r="B37" s="16">
        <f t="shared" si="26"/>
      </c>
      <c r="C37" s="17" t="s">
        <v>210</v>
      </c>
      <c r="D37" s="18">
        <v>1981</v>
      </c>
      <c r="E37" s="19">
        <f>ROUND(F37+IF('Men''s Epée'!$A$3=1,G37,0)+LARGE($S37:$Y37,1)+LARGE($S37:$Y37,2),0)</f>
        <v>570</v>
      </c>
      <c r="F37" s="20"/>
      <c r="G37" s="21"/>
      <c r="H37" s="21">
        <v>34</v>
      </c>
      <c r="I37" s="22">
        <f>IF(OR('Men''s Epée'!$A$3=1,'Men''s Epée'!$S$3=TRUE),IF(OR(H37&gt;=49,ISNUMBER(H37)=FALSE),0,VLOOKUP(H37,PointTable,I$3,TRUE)),0)</f>
        <v>270</v>
      </c>
      <c r="J37" s="21">
        <v>28</v>
      </c>
      <c r="K37" s="22">
        <f>IF(OR('Men''s Epée'!$A$3=1,'Men''s Epée'!$T$3=TRUE),IF(OR(J37&gt;=49,ISNUMBER(J37)=FALSE),0,VLOOKUP(J37,PointTable,K$3,TRUE)),0)</f>
        <v>300</v>
      </c>
      <c r="L37" s="21" t="s">
        <v>5</v>
      </c>
      <c r="M37" s="22">
        <f>IF(OR('Men''s Epée'!$A$3=1,'Men''s Epée'!$U$3=TRUE),IF(OR(L37&gt;=49,ISNUMBER(L37)=FALSE),0,VLOOKUP(L37,PointTable,M$3,TRUE)),0)</f>
        <v>0</v>
      </c>
      <c r="N37" s="23"/>
      <c r="O37" s="23"/>
      <c r="P37" s="23"/>
      <c r="Q37" s="24"/>
      <c r="S37" s="25">
        <f t="shared" si="27"/>
        <v>270</v>
      </c>
      <c r="T37" s="25">
        <f t="shared" si="28"/>
        <v>300</v>
      </c>
      <c r="U37" s="25">
        <f t="shared" si="29"/>
        <v>0</v>
      </c>
      <c r="V37" s="25">
        <f>IF(OR('Men''s Epée'!$A$3=1,N37&gt;0),ABS(N37),0)</f>
        <v>0</v>
      </c>
      <c r="W37" s="25">
        <f>IF(OR('Men''s Epée'!$A$3=1,O37&gt;0),ABS(O37),0)</f>
        <v>0</v>
      </c>
      <c r="X37" s="25">
        <f>IF(OR('Men''s Epée'!$A$3=1,P37&gt;0),ABS(P37),0)</f>
        <v>0</v>
      </c>
      <c r="Y37" s="25">
        <f>IF(OR('Men''s Epée'!$A$3=1,Q37&gt;0),ABS(Q37),0)</f>
        <v>0</v>
      </c>
      <c r="AA37" s="12">
        <f>IF('Men''s Epée'!$S$3=TRUE,I37,0)</f>
        <v>270</v>
      </c>
      <c r="AB37" s="12">
        <f>IF('Men''s Epée'!$T$3=TRUE,K37,0)</f>
        <v>300</v>
      </c>
      <c r="AC37" s="12">
        <f>IF('Men''s Epée'!$U$3=TRUE,M37,0)</f>
        <v>0</v>
      </c>
      <c r="AD37" s="26">
        <f t="shared" si="30"/>
        <v>0</v>
      </c>
      <c r="AE37" s="26">
        <f t="shared" si="31"/>
        <v>0</v>
      </c>
      <c r="AF37" s="26">
        <f t="shared" si="32"/>
        <v>0</v>
      </c>
      <c r="AG37" s="26">
        <f t="shared" si="33"/>
        <v>0</v>
      </c>
      <c r="AH37" s="12">
        <f t="shared" si="9"/>
        <v>570</v>
      </c>
    </row>
    <row r="38" spans="1:34" ht="13.5">
      <c r="A38" s="16" t="str">
        <f t="shared" si="0"/>
        <v>35</v>
      </c>
      <c r="B38" s="16">
        <f t="shared" si="26"/>
      </c>
      <c r="C38" s="17" t="s">
        <v>389</v>
      </c>
      <c r="D38" s="18">
        <v>1964</v>
      </c>
      <c r="E38" s="19">
        <f>ROUND(F38+IF('Men''s Epée'!$A$3=1,G38,0)+LARGE($S38:$Y38,1)+LARGE($S38:$Y38,2),0)</f>
        <v>560</v>
      </c>
      <c r="F38" s="20"/>
      <c r="G38" s="21"/>
      <c r="H38" s="21">
        <v>36</v>
      </c>
      <c r="I38" s="22">
        <f>IF(OR('Men''s Epée'!$A$3=1,'Men''s Epée'!$S$3=TRUE),IF(OR(H38&gt;=49,ISNUMBER(H38)=FALSE),0,VLOOKUP(H38,PointTable,I$3,TRUE)),0)</f>
        <v>260</v>
      </c>
      <c r="J38" s="21">
        <v>48</v>
      </c>
      <c r="K38" s="22">
        <f>IF(OR('Men''s Epée'!$A$3=1,'Men''s Epée'!$T$3=TRUE),IF(OR(J38&gt;=49,ISNUMBER(J38)=FALSE),0,VLOOKUP(J38,PointTable,K$3,TRUE)),0)</f>
        <v>200</v>
      </c>
      <c r="L38" s="21">
        <v>27</v>
      </c>
      <c r="M38" s="22">
        <f>IF(OR('Men''s Epée'!$A$3=1,'Men''s Epée'!$U$3=TRUE),IF(OR(L38&gt;=49,ISNUMBER(L38)=FALSE),0,VLOOKUP(L38,PointTable,M$3,TRUE)),0)</f>
        <v>300</v>
      </c>
      <c r="N38" s="23"/>
      <c r="O38" s="23"/>
      <c r="P38" s="23"/>
      <c r="Q38" s="24"/>
      <c r="S38" s="25">
        <f t="shared" si="27"/>
        <v>260</v>
      </c>
      <c r="T38" s="25">
        <f t="shared" si="28"/>
        <v>200</v>
      </c>
      <c r="U38" s="25">
        <f t="shared" si="29"/>
        <v>300</v>
      </c>
      <c r="V38" s="25">
        <f>IF(OR('Men''s Epée'!$A$3=1,N38&gt;0),ABS(N38),0)</f>
        <v>0</v>
      </c>
      <c r="W38" s="25">
        <f>IF(OR('Men''s Epée'!$A$3=1,O38&gt;0),ABS(O38),0)</f>
        <v>0</v>
      </c>
      <c r="X38" s="25">
        <f>IF(OR('Men''s Epée'!$A$3=1,P38&gt;0),ABS(P38),0)</f>
        <v>0</v>
      </c>
      <c r="Y38" s="25">
        <f>IF(OR('Men''s Epée'!$A$3=1,Q38&gt;0),ABS(Q38),0)</f>
        <v>0</v>
      </c>
      <c r="AA38" s="12">
        <f>IF('Men''s Epée'!$S$3=TRUE,I38,0)</f>
        <v>260</v>
      </c>
      <c r="AB38" s="12">
        <f>IF('Men''s Epée'!$T$3=TRUE,K38,0)</f>
        <v>200</v>
      </c>
      <c r="AC38" s="12">
        <f>IF('Men''s Epée'!$U$3=TRUE,M38,0)</f>
        <v>300</v>
      </c>
      <c r="AD38" s="26">
        <f t="shared" si="30"/>
        <v>0</v>
      </c>
      <c r="AE38" s="26">
        <f t="shared" si="31"/>
        <v>0</v>
      </c>
      <c r="AF38" s="26">
        <f t="shared" si="32"/>
        <v>0</v>
      </c>
      <c r="AG38" s="26">
        <f t="shared" si="33"/>
        <v>0</v>
      </c>
      <c r="AH38" s="12">
        <f t="shared" si="9"/>
        <v>560</v>
      </c>
    </row>
    <row r="39" spans="1:34" ht="13.5">
      <c r="A39" s="16" t="str">
        <f t="shared" si="0"/>
        <v>36</v>
      </c>
      <c r="B39" s="16">
        <f t="shared" si="26"/>
      </c>
      <c r="C39" s="17" t="s">
        <v>101</v>
      </c>
      <c r="D39" s="18">
        <v>1966</v>
      </c>
      <c r="E39" s="19">
        <f>ROUND(F39+IF('Men''s Epée'!$A$3=1,G39,0)+LARGE($S39:$Y39,1)+LARGE($S39:$Y39,2),0)</f>
        <v>530</v>
      </c>
      <c r="F39" s="20"/>
      <c r="G39" s="21"/>
      <c r="H39" s="21">
        <v>38</v>
      </c>
      <c r="I39" s="22">
        <f>IF(OR('Men''s Epée'!$A$3=1,'Men''s Epée'!$S$3=TRUE),IF(OR(H39&gt;=49,ISNUMBER(H39)=FALSE),0,VLOOKUP(H39,PointTable,I$3,TRUE)),0)</f>
        <v>250</v>
      </c>
      <c r="J39" s="21" t="s">
        <v>5</v>
      </c>
      <c r="K39" s="22">
        <f>IF(OR('Men''s Epée'!$A$3=1,'Men''s Epée'!$T$3=TRUE),IF(OR(J39&gt;=49,ISNUMBER(J39)=FALSE),0,VLOOKUP(J39,PointTable,K$3,TRUE)),0)</f>
        <v>0</v>
      </c>
      <c r="L39" s="21">
        <v>31</v>
      </c>
      <c r="M39" s="22">
        <f>IF(OR('Men''s Epée'!$A$3=1,'Men''s Epée'!$U$3=TRUE),IF(OR(L39&gt;=49,ISNUMBER(L39)=FALSE),0,VLOOKUP(L39,PointTable,M$3,TRUE)),0)</f>
        <v>280</v>
      </c>
      <c r="N39" s="23"/>
      <c r="O39" s="23"/>
      <c r="P39" s="23"/>
      <c r="Q39" s="24"/>
      <c r="S39" s="25">
        <f t="shared" si="27"/>
        <v>250</v>
      </c>
      <c r="T39" s="25">
        <f t="shared" si="28"/>
        <v>0</v>
      </c>
      <c r="U39" s="25">
        <f t="shared" si="29"/>
        <v>280</v>
      </c>
      <c r="V39" s="25">
        <f>IF(OR('Men''s Epée'!$A$3=1,N39&gt;0),ABS(N39),0)</f>
        <v>0</v>
      </c>
      <c r="W39" s="25">
        <f>IF(OR('Men''s Epée'!$A$3=1,O39&gt;0),ABS(O39),0)</f>
        <v>0</v>
      </c>
      <c r="X39" s="25">
        <f>IF(OR('Men''s Epée'!$A$3=1,P39&gt;0),ABS(P39),0)</f>
        <v>0</v>
      </c>
      <c r="Y39" s="25">
        <f>IF(OR('Men''s Epée'!$A$3=1,Q39&gt;0),ABS(Q39),0)</f>
        <v>0</v>
      </c>
      <c r="AA39" s="12">
        <f>IF('Men''s Epée'!$S$3=TRUE,I39,0)</f>
        <v>250</v>
      </c>
      <c r="AB39" s="12">
        <f>IF('Men''s Epée'!$T$3=TRUE,K39,0)</f>
        <v>0</v>
      </c>
      <c r="AC39" s="12">
        <f>IF('Men''s Epée'!$U$3=TRUE,M39,0)</f>
        <v>280</v>
      </c>
      <c r="AD39" s="26">
        <f t="shared" si="30"/>
        <v>0</v>
      </c>
      <c r="AE39" s="26">
        <f t="shared" si="31"/>
        <v>0</v>
      </c>
      <c r="AF39" s="26">
        <f t="shared" si="32"/>
        <v>0</v>
      </c>
      <c r="AG39" s="26">
        <f t="shared" si="33"/>
        <v>0</v>
      </c>
      <c r="AH39" s="12">
        <f t="shared" si="9"/>
        <v>530</v>
      </c>
    </row>
    <row r="40" spans="1:34" ht="13.5">
      <c r="A40" s="16" t="str">
        <f t="shared" si="0"/>
        <v>37</v>
      </c>
      <c r="B40" s="16">
        <f t="shared" si="26"/>
      </c>
      <c r="C40" s="17" t="s">
        <v>187</v>
      </c>
      <c r="D40" s="18">
        <v>1970</v>
      </c>
      <c r="E40" s="19">
        <f>ROUND(F40+IF('Men''s Epée'!$A$3=1,G40,0)+LARGE($S40:$Y40,1)+LARGE($S40:$Y40,2),0)</f>
        <v>520</v>
      </c>
      <c r="F40" s="20"/>
      <c r="G40" s="21"/>
      <c r="H40" s="21">
        <v>39</v>
      </c>
      <c r="I40" s="22">
        <f>IF(OR('Men''s Epée'!$A$3=1,'Men''s Epée'!$S$3=TRUE),IF(OR(H40&gt;=49,ISNUMBER(H40)=FALSE),0,VLOOKUP(H40,PointTable,I$3,TRUE)),0)</f>
        <v>245</v>
      </c>
      <c r="J40" s="21" t="s">
        <v>5</v>
      </c>
      <c r="K40" s="22">
        <f>IF(OR('Men''s Epée'!$A$3=1,'Men''s Epée'!$T$3=TRUE),IF(OR(J40&gt;=49,ISNUMBER(J40)=FALSE),0,VLOOKUP(J40,PointTable,K$3,TRUE)),0)</f>
        <v>0</v>
      </c>
      <c r="L40" s="21">
        <v>32</v>
      </c>
      <c r="M40" s="22">
        <f>IF(OR('Men''s Epée'!$A$3=1,'Men''s Epée'!$U$3=TRUE),IF(OR(L40&gt;=49,ISNUMBER(L40)=FALSE),0,VLOOKUP(L40,PointTable,M$3,TRUE)),0)</f>
        <v>275</v>
      </c>
      <c r="N40" s="23"/>
      <c r="O40" s="23"/>
      <c r="P40" s="23"/>
      <c r="Q40" s="24"/>
      <c r="S40" s="25">
        <f t="shared" si="27"/>
        <v>245</v>
      </c>
      <c r="T40" s="25">
        <f t="shared" si="28"/>
        <v>0</v>
      </c>
      <c r="U40" s="25">
        <f t="shared" si="29"/>
        <v>275</v>
      </c>
      <c r="V40" s="25">
        <f>IF(OR('Men''s Epée'!$A$3=1,N40&gt;0),ABS(N40),0)</f>
        <v>0</v>
      </c>
      <c r="W40" s="25">
        <f>IF(OR('Men''s Epée'!$A$3=1,O40&gt;0),ABS(O40),0)</f>
        <v>0</v>
      </c>
      <c r="X40" s="25">
        <f>IF(OR('Men''s Epée'!$A$3=1,P40&gt;0),ABS(P40),0)</f>
        <v>0</v>
      </c>
      <c r="Y40" s="25">
        <f>IF(OR('Men''s Epée'!$A$3=1,Q40&gt;0),ABS(Q40),0)</f>
        <v>0</v>
      </c>
      <c r="AA40" s="12">
        <f>IF('Men''s Epée'!$S$3=TRUE,I40,0)</f>
        <v>245</v>
      </c>
      <c r="AB40" s="12">
        <f>IF('Men''s Epée'!$T$3=TRUE,K40,0)</f>
        <v>0</v>
      </c>
      <c r="AC40" s="12">
        <f>IF('Men''s Epée'!$U$3=TRUE,M40,0)</f>
        <v>275</v>
      </c>
      <c r="AD40" s="26">
        <f t="shared" si="30"/>
        <v>0</v>
      </c>
      <c r="AE40" s="26">
        <f t="shared" si="31"/>
        <v>0</v>
      </c>
      <c r="AF40" s="26">
        <f t="shared" si="32"/>
        <v>0</v>
      </c>
      <c r="AG40" s="26">
        <f t="shared" si="33"/>
        <v>0</v>
      </c>
      <c r="AH40" s="12">
        <f t="shared" si="9"/>
        <v>520</v>
      </c>
    </row>
    <row r="41" spans="1:34" ht="13.5">
      <c r="A41" s="16" t="str">
        <f t="shared" si="0"/>
        <v>38T</v>
      </c>
      <c r="B41" s="16" t="str">
        <f t="shared" si="26"/>
        <v>#</v>
      </c>
      <c r="C41" s="17" t="s">
        <v>136</v>
      </c>
      <c r="D41" s="18">
        <v>1985</v>
      </c>
      <c r="E41" s="19">
        <f>ROUND(F41+IF('Men''s Epée'!$A$3=1,G41,0)+LARGE($S41:$Y41,1)+LARGE($S41:$Y41,2),0)</f>
        <v>515</v>
      </c>
      <c r="F41" s="20"/>
      <c r="G41" s="21"/>
      <c r="H41" s="21" t="s">
        <v>5</v>
      </c>
      <c r="I41" s="22">
        <f>IF(OR('Men''s Epée'!$A$3=1,'Men''s Epée'!$S$3=TRUE),IF(OR(H41&gt;=49,ISNUMBER(H41)=FALSE),0,VLOOKUP(H41,PointTable,I$3,TRUE)),0)</f>
        <v>0</v>
      </c>
      <c r="J41" s="21" t="s">
        <v>5</v>
      </c>
      <c r="K41" s="22">
        <f>IF(OR('Men''s Epée'!$A$3=1,'Men''s Epée'!$T$3=TRUE),IF(OR(J41&gt;=49,ISNUMBER(J41)=FALSE),0,VLOOKUP(J41,PointTable,K$3,TRUE)),0)</f>
        <v>0</v>
      </c>
      <c r="L41" s="21">
        <v>13</v>
      </c>
      <c r="M41" s="22">
        <f>IF(OR('Men''s Epée'!$A$3=1,'Men''s Epée'!$U$3=TRUE),IF(OR(L41&gt;=49,ISNUMBER(L41)=FALSE),0,VLOOKUP(L41,PointTable,M$3,TRUE)),0)</f>
        <v>515</v>
      </c>
      <c r="N41" s="23"/>
      <c r="O41" s="23"/>
      <c r="P41" s="23"/>
      <c r="Q41" s="24"/>
      <c r="S41" s="25">
        <f t="shared" si="27"/>
        <v>0</v>
      </c>
      <c r="T41" s="25">
        <f t="shared" si="28"/>
        <v>0</v>
      </c>
      <c r="U41" s="25">
        <f t="shared" si="29"/>
        <v>515</v>
      </c>
      <c r="V41" s="25">
        <f>IF(OR('Men''s Epée'!$A$3=1,N41&gt;0),ABS(N41),0)</f>
        <v>0</v>
      </c>
      <c r="W41" s="25">
        <f>IF(OR('Men''s Epée'!$A$3=1,O41&gt;0),ABS(O41),0)</f>
        <v>0</v>
      </c>
      <c r="X41" s="25">
        <f>IF(OR('Men''s Epée'!$A$3=1,P41&gt;0),ABS(P41),0)</f>
        <v>0</v>
      </c>
      <c r="Y41" s="25">
        <f>IF(OR('Men''s Epée'!$A$3=1,Q41&gt;0),ABS(Q41),0)</f>
        <v>0</v>
      </c>
      <c r="AA41" s="12">
        <f>IF('Men''s Epée'!$S$3=TRUE,I41,0)</f>
        <v>0</v>
      </c>
      <c r="AB41" s="12">
        <f>IF('Men''s Epée'!$T$3=TRUE,K41,0)</f>
        <v>0</v>
      </c>
      <c r="AC41" s="12">
        <f>IF('Men''s Epée'!$U$3=TRUE,M41,0)</f>
        <v>515</v>
      </c>
      <c r="AD41" s="26">
        <f t="shared" si="30"/>
        <v>0</v>
      </c>
      <c r="AE41" s="26">
        <f t="shared" si="31"/>
        <v>0</v>
      </c>
      <c r="AF41" s="26">
        <f t="shared" si="32"/>
        <v>0</v>
      </c>
      <c r="AG41" s="26">
        <f t="shared" si="33"/>
        <v>0</v>
      </c>
      <c r="AH41" s="12">
        <f t="shared" si="9"/>
        <v>515</v>
      </c>
    </row>
    <row r="42" spans="1:34" ht="13.5">
      <c r="A42" s="16" t="str">
        <f t="shared" si="0"/>
        <v>38T</v>
      </c>
      <c r="B42" s="16">
        <f t="shared" si="26"/>
      </c>
      <c r="C42" s="17" t="s">
        <v>287</v>
      </c>
      <c r="D42" s="18">
        <v>1972</v>
      </c>
      <c r="E42" s="19">
        <f>ROUND(F42+IF('Men''s Epée'!$A$3=1,G42,0)+LARGE($S42:$Y42,1)+LARGE($S42:$Y42,2),0)</f>
        <v>515</v>
      </c>
      <c r="F42" s="20"/>
      <c r="G42" s="21"/>
      <c r="H42" s="21">
        <v>44</v>
      </c>
      <c r="I42" s="22">
        <f>IF(OR('Men''s Epée'!$A$3=1,'Men''s Epée'!$S$3=TRUE),IF(OR(H42&gt;=49,ISNUMBER(H42)=FALSE),0,VLOOKUP(H42,PointTable,I$3,TRUE)),0)</f>
        <v>220</v>
      </c>
      <c r="J42" s="21" t="s">
        <v>5</v>
      </c>
      <c r="K42" s="22">
        <f>IF(OR('Men''s Epée'!$A$3=1,'Men''s Epée'!$T$3=TRUE),IF(OR(J42&gt;=49,ISNUMBER(J42)=FALSE),0,VLOOKUP(J42,PointTable,K$3,TRUE)),0)</f>
        <v>0</v>
      </c>
      <c r="L42" s="21">
        <v>28</v>
      </c>
      <c r="M42" s="22">
        <f>IF(OR('Men''s Epée'!$A$3=1,'Men''s Epée'!$U$3=TRUE),IF(OR(L42&gt;=49,ISNUMBER(L42)=FALSE),0,VLOOKUP(L42,PointTable,M$3,TRUE)),0)</f>
        <v>295</v>
      </c>
      <c r="N42" s="23"/>
      <c r="O42" s="23"/>
      <c r="P42" s="23"/>
      <c r="Q42" s="24"/>
      <c r="S42" s="25">
        <f t="shared" si="27"/>
        <v>220</v>
      </c>
      <c r="T42" s="25">
        <f t="shared" si="28"/>
        <v>0</v>
      </c>
      <c r="U42" s="25">
        <f t="shared" si="29"/>
        <v>295</v>
      </c>
      <c r="V42" s="25">
        <f>IF(OR('Men''s Epée'!$A$3=1,N42&gt;0),ABS(N42),0)</f>
        <v>0</v>
      </c>
      <c r="W42" s="25">
        <f>IF(OR('Men''s Epée'!$A$3=1,O42&gt;0),ABS(O42),0)</f>
        <v>0</v>
      </c>
      <c r="X42" s="25">
        <f>IF(OR('Men''s Epée'!$A$3=1,P42&gt;0),ABS(P42),0)</f>
        <v>0</v>
      </c>
      <c r="Y42" s="25">
        <f>IF(OR('Men''s Epée'!$A$3=1,Q42&gt;0),ABS(Q42),0)</f>
        <v>0</v>
      </c>
      <c r="AA42" s="12">
        <f>IF('Men''s Epée'!$S$3=TRUE,I42,0)</f>
        <v>220</v>
      </c>
      <c r="AB42" s="12">
        <f>IF('Men''s Epée'!$T$3=TRUE,K42,0)</f>
        <v>0</v>
      </c>
      <c r="AC42" s="12">
        <f>IF('Men''s Epée'!$U$3=TRUE,M42,0)</f>
        <v>295</v>
      </c>
      <c r="AD42" s="26">
        <f t="shared" si="30"/>
        <v>0</v>
      </c>
      <c r="AE42" s="26">
        <f t="shared" si="31"/>
        <v>0</v>
      </c>
      <c r="AF42" s="26">
        <f t="shared" si="32"/>
        <v>0</v>
      </c>
      <c r="AG42" s="26">
        <f t="shared" si="33"/>
        <v>0</v>
      </c>
      <c r="AH42" s="12">
        <f t="shared" si="9"/>
        <v>515</v>
      </c>
    </row>
    <row r="43" spans="1:34" ht="13.5">
      <c r="A43" s="16" t="str">
        <f t="shared" si="0"/>
        <v>40</v>
      </c>
      <c r="B43" s="16" t="str">
        <f t="shared" si="26"/>
        <v>#</v>
      </c>
      <c r="C43" s="17" t="s">
        <v>288</v>
      </c>
      <c r="D43" s="18">
        <v>1983</v>
      </c>
      <c r="E43" s="19">
        <f>ROUND(F43+IF('Men''s Epée'!$A$3=1,G43,0)+LARGE($S43:$Y43,1)+LARGE($S43:$Y43,2),0)</f>
        <v>500</v>
      </c>
      <c r="F43" s="20"/>
      <c r="G43" s="21"/>
      <c r="H43" s="21">
        <v>45</v>
      </c>
      <c r="I43" s="22">
        <f>IF(OR('Men''s Epée'!$A$3=1,'Men''s Epée'!$S$3=TRUE),IF(OR(H43&gt;=49,ISNUMBER(H43)=FALSE),0,VLOOKUP(H43,PointTable,I$3,TRUE)),0)</f>
        <v>215</v>
      </c>
      <c r="J43" s="21" t="s">
        <v>5</v>
      </c>
      <c r="K43" s="22">
        <f>IF(OR('Men''s Epée'!$A$3=1,'Men''s Epée'!$T$3=TRUE),IF(OR(J43&gt;=49,ISNUMBER(J43)=FALSE),0,VLOOKUP(J43,PointTable,K$3,TRUE)),0)</f>
        <v>0</v>
      </c>
      <c r="L43" s="21">
        <v>30</v>
      </c>
      <c r="M43" s="22">
        <f>IF(OR('Men''s Epée'!$A$3=1,'Men''s Epée'!$U$3=TRUE),IF(OR(L43&gt;=49,ISNUMBER(L43)=FALSE),0,VLOOKUP(L43,PointTable,M$3,TRUE)),0)</f>
        <v>285</v>
      </c>
      <c r="N43" s="23"/>
      <c r="O43" s="23"/>
      <c r="P43" s="23"/>
      <c r="Q43" s="24"/>
      <c r="S43" s="25">
        <f t="shared" si="27"/>
        <v>215</v>
      </c>
      <c r="T43" s="25">
        <f t="shared" si="28"/>
        <v>0</v>
      </c>
      <c r="U43" s="25">
        <f t="shared" si="29"/>
        <v>285</v>
      </c>
      <c r="V43" s="25">
        <f>IF(OR('Men''s Epée'!$A$3=1,N43&gt;0),ABS(N43),0)</f>
        <v>0</v>
      </c>
      <c r="W43" s="25">
        <f>IF(OR('Men''s Epée'!$A$3=1,O43&gt;0),ABS(O43),0)</f>
        <v>0</v>
      </c>
      <c r="X43" s="25">
        <f>IF(OR('Men''s Epée'!$A$3=1,P43&gt;0),ABS(P43),0)</f>
        <v>0</v>
      </c>
      <c r="Y43" s="25">
        <f>IF(OR('Men''s Epée'!$A$3=1,Q43&gt;0),ABS(Q43),0)</f>
        <v>0</v>
      </c>
      <c r="AA43" s="12">
        <f>IF('Men''s Epée'!$S$3=TRUE,I43,0)</f>
        <v>215</v>
      </c>
      <c r="AB43" s="12">
        <f>IF('Men''s Epée'!$T$3=TRUE,K43,0)</f>
        <v>0</v>
      </c>
      <c r="AC43" s="12">
        <f>IF('Men''s Epée'!$U$3=TRUE,M43,0)</f>
        <v>285</v>
      </c>
      <c r="AD43" s="26">
        <f t="shared" si="30"/>
        <v>0</v>
      </c>
      <c r="AE43" s="26">
        <f t="shared" si="31"/>
        <v>0</v>
      </c>
      <c r="AF43" s="26">
        <f t="shared" si="32"/>
        <v>0</v>
      </c>
      <c r="AG43" s="26">
        <f t="shared" si="33"/>
        <v>0</v>
      </c>
      <c r="AH43" s="12">
        <f t="shared" si="9"/>
        <v>500</v>
      </c>
    </row>
    <row r="44" spans="1:34" ht="13.5">
      <c r="A44" s="16" t="str">
        <f t="shared" si="0"/>
        <v>41</v>
      </c>
      <c r="B44" s="16">
        <f t="shared" si="26"/>
      </c>
      <c r="C44" s="17" t="s">
        <v>77</v>
      </c>
      <c r="D44" s="18">
        <v>1967</v>
      </c>
      <c r="E44" s="19">
        <f>ROUND(F44+IF('Men''s Epée'!$A$3=1,G44,0)+LARGE($S44:$Y44,1)+LARGE($S44:$Y44,2),0)</f>
        <v>495</v>
      </c>
      <c r="F44" s="20"/>
      <c r="G44" s="21"/>
      <c r="H44" s="21">
        <v>33</v>
      </c>
      <c r="I44" s="22">
        <f>IF(OR('Men''s Epée'!$A$3=1,'Men''s Epée'!$S$3=TRUE),IF(OR(H44&gt;=49,ISNUMBER(H44)=FALSE),0,VLOOKUP(H44,PointTable,I$3,TRUE)),0)</f>
        <v>275</v>
      </c>
      <c r="J44" s="21">
        <v>44</v>
      </c>
      <c r="K44" s="22">
        <f>IF(OR('Men''s Epée'!$A$3=1,'Men''s Epée'!$T$3=TRUE),IF(OR(J44&gt;=49,ISNUMBER(J44)=FALSE),0,VLOOKUP(J44,PointTable,K$3,TRUE)),0)</f>
        <v>220</v>
      </c>
      <c r="L44" s="21" t="s">
        <v>5</v>
      </c>
      <c r="M44" s="22">
        <f>IF(OR('Men''s Epée'!$A$3=1,'Men''s Epée'!$U$3=TRUE),IF(OR(L44&gt;=49,ISNUMBER(L44)=FALSE),0,VLOOKUP(L44,PointTable,M$3,TRUE)),0)</f>
        <v>0</v>
      </c>
      <c r="N44" s="23"/>
      <c r="O44" s="23"/>
      <c r="P44" s="23"/>
      <c r="Q44" s="24"/>
      <c r="S44" s="25">
        <f t="shared" si="27"/>
        <v>275</v>
      </c>
      <c r="T44" s="25">
        <f t="shared" si="28"/>
        <v>220</v>
      </c>
      <c r="U44" s="25">
        <f t="shared" si="29"/>
        <v>0</v>
      </c>
      <c r="V44" s="25">
        <f>IF(OR('Men''s Epée'!$A$3=1,N44&gt;0),ABS(N44),0)</f>
        <v>0</v>
      </c>
      <c r="W44" s="25">
        <f>IF(OR('Men''s Epée'!$A$3=1,O44&gt;0),ABS(O44),0)</f>
        <v>0</v>
      </c>
      <c r="X44" s="25">
        <f>IF(OR('Men''s Epée'!$A$3=1,P44&gt;0),ABS(P44),0)</f>
        <v>0</v>
      </c>
      <c r="Y44" s="25">
        <f>IF(OR('Men''s Epée'!$A$3=1,Q44&gt;0),ABS(Q44),0)</f>
        <v>0</v>
      </c>
      <c r="AA44" s="12">
        <f>IF('Men''s Epée'!$S$3=TRUE,I44,0)</f>
        <v>275</v>
      </c>
      <c r="AB44" s="12">
        <f>IF('Men''s Epée'!$T$3=TRUE,K44,0)</f>
        <v>220</v>
      </c>
      <c r="AC44" s="12">
        <f>IF('Men''s Epée'!$U$3=TRUE,M44,0)</f>
        <v>0</v>
      </c>
      <c r="AD44" s="26">
        <f t="shared" si="30"/>
        <v>0</v>
      </c>
      <c r="AE44" s="26">
        <f t="shared" si="31"/>
        <v>0</v>
      </c>
      <c r="AF44" s="26">
        <f t="shared" si="32"/>
        <v>0</v>
      </c>
      <c r="AG44" s="26">
        <f t="shared" si="33"/>
        <v>0</v>
      </c>
      <c r="AH44" s="12">
        <f t="shared" si="9"/>
        <v>495</v>
      </c>
    </row>
    <row r="45" spans="1:34" ht="13.5">
      <c r="A45" s="16" t="str">
        <f t="shared" si="0"/>
        <v>42</v>
      </c>
      <c r="B45" s="16">
        <f t="shared" si="26"/>
      </c>
      <c r="C45" s="17" t="s">
        <v>70</v>
      </c>
      <c r="D45" s="18">
        <v>1982</v>
      </c>
      <c r="E45" s="19">
        <f>ROUND(F45+IF('Men''s Epée'!$A$3=1,G45,0)+LARGE($S45:$Y45,1)+LARGE($S45:$Y45,2),0)</f>
        <v>400</v>
      </c>
      <c r="F45" s="20"/>
      <c r="G45" s="21"/>
      <c r="H45" s="21" t="s">
        <v>5</v>
      </c>
      <c r="I45" s="22">
        <f>IF(OR('Men''s Epée'!$A$3=1,'Men''s Epée'!$S$3=TRUE),IF(OR(H45&gt;=49,ISNUMBER(H45)=FALSE),0,VLOOKUP(H45,PointTable,I$3,TRUE)),0)</f>
        <v>0</v>
      </c>
      <c r="J45" s="21">
        <v>20</v>
      </c>
      <c r="K45" s="22">
        <f>IF(OR('Men''s Epée'!$A$3=1,'Men''s Epée'!$T$3=TRUE),IF(OR(J45&gt;=49,ISNUMBER(J45)=FALSE),0,VLOOKUP(J45,PointTable,K$3,TRUE)),0)</f>
        <v>400</v>
      </c>
      <c r="L45" s="21" t="s">
        <v>5</v>
      </c>
      <c r="M45" s="22">
        <f>IF(OR('Men''s Epée'!$A$3=1,'Men''s Epée'!$U$3=TRUE),IF(OR(L45&gt;=49,ISNUMBER(L45)=FALSE),0,VLOOKUP(L45,PointTable,M$3,TRUE)),0)</f>
        <v>0</v>
      </c>
      <c r="N45" s="23"/>
      <c r="O45" s="23"/>
      <c r="P45" s="23"/>
      <c r="Q45" s="24"/>
      <c r="S45" s="25">
        <f t="shared" si="27"/>
        <v>0</v>
      </c>
      <c r="T45" s="25">
        <f t="shared" si="28"/>
        <v>400</v>
      </c>
      <c r="U45" s="25">
        <f t="shared" si="29"/>
        <v>0</v>
      </c>
      <c r="V45" s="25">
        <f>IF(OR('Men''s Epée'!$A$3=1,N45&gt;0),ABS(N45),0)</f>
        <v>0</v>
      </c>
      <c r="W45" s="25">
        <f>IF(OR('Men''s Epée'!$A$3=1,O45&gt;0),ABS(O45),0)</f>
        <v>0</v>
      </c>
      <c r="X45" s="25">
        <f>IF(OR('Men''s Epée'!$A$3=1,P45&gt;0),ABS(P45),0)</f>
        <v>0</v>
      </c>
      <c r="Y45" s="25">
        <f>IF(OR('Men''s Epée'!$A$3=1,Q45&gt;0),ABS(Q45),0)</f>
        <v>0</v>
      </c>
      <c r="AA45" s="12">
        <f>IF('Men''s Epée'!$S$3=TRUE,I45,0)</f>
        <v>0</v>
      </c>
      <c r="AB45" s="12">
        <f>IF('Men''s Epée'!$T$3=TRUE,K45,0)</f>
        <v>400</v>
      </c>
      <c r="AC45" s="12">
        <f>IF('Men''s Epée'!$U$3=TRUE,M45,0)</f>
        <v>0</v>
      </c>
      <c r="AD45" s="26">
        <f t="shared" si="30"/>
        <v>0</v>
      </c>
      <c r="AE45" s="26">
        <f t="shared" si="31"/>
        <v>0</v>
      </c>
      <c r="AF45" s="26">
        <f t="shared" si="32"/>
        <v>0</v>
      </c>
      <c r="AG45" s="26">
        <f t="shared" si="33"/>
        <v>0</v>
      </c>
      <c r="AH45" s="12">
        <f t="shared" si="9"/>
        <v>400</v>
      </c>
    </row>
    <row r="46" spans="1:34" ht="13.5">
      <c r="A46" s="16" t="str">
        <f t="shared" si="0"/>
        <v>43</v>
      </c>
      <c r="B46" s="16" t="str">
        <f aca="true" t="shared" si="34" ref="B46:B58">TRIM(IF(D46&gt;=JuniorCutoff,"#",""))</f>
        <v>#</v>
      </c>
      <c r="C46" s="17" t="s">
        <v>301</v>
      </c>
      <c r="D46" s="18">
        <v>1985</v>
      </c>
      <c r="E46" s="19">
        <f>ROUND(F46+IF('Men''s Epée'!$A$3=1,G46,0)+LARGE($S46:$Y46,1)+LARGE($S46:$Y46,2),0)</f>
        <v>390</v>
      </c>
      <c r="F46" s="20"/>
      <c r="G46" s="21"/>
      <c r="H46" s="21">
        <v>22</v>
      </c>
      <c r="I46" s="22">
        <f>IF(OR('Men''s Epée'!$A$3=1,'Men''s Epée'!$S$3=TRUE),IF(OR(H46&gt;=49,ISNUMBER(H46)=FALSE),0,VLOOKUP(H46,PointTable,I$3,TRUE)),0)</f>
        <v>390</v>
      </c>
      <c r="J46" s="21" t="s">
        <v>5</v>
      </c>
      <c r="K46" s="22">
        <f>IF(OR('Men''s Epée'!$A$3=1,'Men''s Epée'!$T$3=TRUE),IF(OR(J46&gt;=49,ISNUMBER(J46)=FALSE),0,VLOOKUP(J46,PointTable,K$3,TRUE)),0)</f>
        <v>0</v>
      </c>
      <c r="L46" s="21" t="s">
        <v>5</v>
      </c>
      <c r="M46" s="22">
        <f>IF(OR('Men''s Epée'!$A$3=1,'Men''s Epée'!$U$3=TRUE),IF(OR(L46&gt;=49,ISNUMBER(L46)=FALSE),0,VLOOKUP(L46,PointTable,M$3,TRUE)),0)</f>
        <v>0</v>
      </c>
      <c r="N46" s="23"/>
      <c r="O46" s="23"/>
      <c r="P46" s="23"/>
      <c r="Q46" s="24"/>
      <c r="S46" s="25">
        <f aca="true" t="shared" si="35" ref="S46:S58">I46</f>
        <v>390</v>
      </c>
      <c r="T46" s="25">
        <f aca="true" t="shared" si="36" ref="T46:T58">K46</f>
        <v>0</v>
      </c>
      <c r="U46" s="25">
        <f aca="true" t="shared" si="37" ref="U46:U58">M46</f>
        <v>0</v>
      </c>
      <c r="V46" s="25">
        <f>IF(OR('Men''s Epée'!$A$3=1,N46&gt;0),ABS(N46),0)</f>
        <v>0</v>
      </c>
      <c r="W46" s="25">
        <f>IF(OR('Men''s Epée'!$A$3=1,O46&gt;0),ABS(O46),0)</f>
        <v>0</v>
      </c>
      <c r="X46" s="25">
        <f>IF(OR('Men''s Epée'!$A$3=1,P46&gt;0),ABS(P46),0)</f>
        <v>0</v>
      </c>
      <c r="Y46" s="25">
        <f>IF(OR('Men''s Epée'!$A$3=1,Q46&gt;0),ABS(Q46),0)</f>
        <v>0</v>
      </c>
      <c r="AA46" s="12">
        <f>IF('Men''s Epée'!$S$3=TRUE,I46,0)</f>
        <v>390</v>
      </c>
      <c r="AB46" s="12">
        <f>IF('Men''s Epée'!$T$3=TRUE,K46,0)</f>
        <v>0</v>
      </c>
      <c r="AC46" s="12">
        <f>IF('Men''s Epée'!$U$3=TRUE,M46,0)</f>
        <v>0</v>
      </c>
      <c r="AD46" s="26">
        <f aca="true" t="shared" si="38" ref="AD46:AD58">MAX(N46,0)</f>
        <v>0</v>
      </c>
      <c r="AE46" s="26">
        <f aca="true" t="shared" si="39" ref="AE46:AE58">MAX(O46,0)</f>
        <v>0</v>
      </c>
      <c r="AF46" s="26">
        <f aca="true" t="shared" si="40" ref="AF46:AF58">MAX(P46,0)</f>
        <v>0</v>
      </c>
      <c r="AG46" s="26">
        <f aca="true" t="shared" si="41" ref="AG46:AG58">MAX(Q46,0)</f>
        <v>0</v>
      </c>
      <c r="AH46" s="12">
        <f t="shared" si="9"/>
        <v>390</v>
      </c>
    </row>
    <row r="47" spans="1:34" ht="13.5">
      <c r="A47" s="16" t="str">
        <f t="shared" si="0"/>
        <v>44</v>
      </c>
      <c r="B47" s="16" t="str">
        <f t="shared" si="34"/>
        <v>#</v>
      </c>
      <c r="C47" s="17" t="s">
        <v>282</v>
      </c>
      <c r="D47" s="18">
        <v>1985</v>
      </c>
      <c r="E47" s="19">
        <f>ROUND(F47+IF('Men''s Epée'!$A$3=1,G47,0)+LARGE($S47:$Y47,1)+LARGE($S47:$Y47,2),0)</f>
        <v>380</v>
      </c>
      <c r="F47" s="20"/>
      <c r="G47" s="21"/>
      <c r="H47" s="21">
        <v>24</v>
      </c>
      <c r="I47" s="22">
        <f>IF(OR('Men''s Epée'!$A$3=1,'Men''s Epée'!$S$3=TRUE),IF(OR(H47&gt;=49,ISNUMBER(H47)=FALSE),0,VLOOKUP(H47,PointTable,I$3,TRUE)),0)</f>
        <v>380</v>
      </c>
      <c r="J47" s="21" t="s">
        <v>5</v>
      </c>
      <c r="K47" s="22">
        <f>IF(OR('Men''s Epée'!$A$3=1,'Men''s Epée'!$T$3=TRUE),IF(OR(J47&gt;=49,ISNUMBER(J47)=FALSE),0,VLOOKUP(J47,PointTable,K$3,TRUE)),0)</f>
        <v>0</v>
      </c>
      <c r="L47" s="21" t="s">
        <v>5</v>
      </c>
      <c r="M47" s="22">
        <f>IF(OR('Men''s Epée'!$A$3=1,'Men''s Epée'!$U$3=TRUE),IF(OR(L47&gt;=49,ISNUMBER(L47)=FALSE),0,VLOOKUP(L47,PointTable,M$3,TRUE)),0)</f>
        <v>0</v>
      </c>
      <c r="N47" s="23"/>
      <c r="O47" s="23"/>
      <c r="P47" s="23"/>
      <c r="Q47" s="24"/>
      <c r="S47" s="25">
        <f t="shared" si="35"/>
        <v>380</v>
      </c>
      <c r="T47" s="25">
        <f t="shared" si="36"/>
        <v>0</v>
      </c>
      <c r="U47" s="25">
        <f t="shared" si="37"/>
        <v>0</v>
      </c>
      <c r="V47" s="25">
        <f>IF(OR('Men''s Epée'!$A$3=1,N47&gt;0),ABS(N47),0)</f>
        <v>0</v>
      </c>
      <c r="W47" s="25">
        <f>IF(OR('Men''s Epée'!$A$3=1,O47&gt;0),ABS(O47),0)</f>
        <v>0</v>
      </c>
      <c r="X47" s="25">
        <f>IF(OR('Men''s Epée'!$A$3=1,P47&gt;0),ABS(P47),0)</f>
        <v>0</v>
      </c>
      <c r="Y47" s="25">
        <f>IF(OR('Men''s Epée'!$A$3=1,Q47&gt;0),ABS(Q47),0)</f>
        <v>0</v>
      </c>
      <c r="AA47" s="12">
        <f>IF('Men''s Epée'!$S$3=TRUE,I47,0)</f>
        <v>380</v>
      </c>
      <c r="AB47" s="12">
        <f>IF('Men''s Epée'!$T$3=TRUE,K47,0)</f>
        <v>0</v>
      </c>
      <c r="AC47" s="12">
        <f>IF('Men''s Epée'!$U$3=TRUE,M47,0)</f>
        <v>0</v>
      </c>
      <c r="AD47" s="26">
        <f t="shared" si="38"/>
        <v>0</v>
      </c>
      <c r="AE47" s="26">
        <f t="shared" si="39"/>
        <v>0</v>
      </c>
      <c r="AF47" s="26">
        <f t="shared" si="40"/>
        <v>0</v>
      </c>
      <c r="AG47" s="26">
        <f t="shared" si="41"/>
        <v>0</v>
      </c>
      <c r="AH47" s="12">
        <f t="shared" si="9"/>
        <v>380</v>
      </c>
    </row>
    <row r="48" spans="1:34" ht="13.5">
      <c r="A48" s="16" t="str">
        <f t="shared" si="0"/>
        <v>45</v>
      </c>
      <c r="B48" s="16">
        <f t="shared" si="34"/>
      </c>
      <c r="C48" s="17" t="s">
        <v>78</v>
      </c>
      <c r="D48" s="18">
        <v>1980</v>
      </c>
      <c r="E48" s="19">
        <f>ROUND(F48+IF('Men''s Epée'!$A$3=1,G48,0)+LARGE($S48:$Y48,1)+LARGE($S48:$Y48,2),0)</f>
        <v>305</v>
      </c>
      <c r="F48" s="20"/>
      <c r="G48" s="21"/>
      <c r="H48" s="21" t="s">
        <v>5</v>
      </c>
      <c r="I48" s="22">
        <f>IF(OR('Men''s Epée'!$A$3=1,'Men''s Epée'!$S$3=TRUE),IF(OR(H48&gt;=49,ISNUMBER(H48)=FALSE),0,VLOOKUP(H48,PointTable,I$3,TRUE)),0)</f>
        <v>0</v>
      </c>
      <c r="J48" s="21">
        <v>27</v>
      </c>
      <c r="K48" s="22">
        <f>IF(OR('Men''s Epée'!$A$3=1,'Men''s Epée'!$T$3=TRUE),IF(OR(J48&gt;=49,ISNUMBER(J48)=FALSE),0,VLOOKUP(J48,PointTable,K$3,TRUE)),0)</f>
        <v>305</v>
      </c>
      <c r="L48" s="21" t="s">
        <v>5</v>
      </c>
      <c r="M48" s="22">
        <f>IF(OR('Men''s Epée'!$A$3=1,'Men''s Epée'!$U$3=TRUE),IF(OR(L48&gt;=49,ISNUMBER(L48)=FALSE),0,VLOOKUP(L48,PointTable,M$3,TRUE)),0)</f>
        <v>0</v>
      </c>
      <c r="N48" s="23"/>
      <c r="O48" s="23"/>
      <c r="P48" s="23"/>
      <c r="Q48" s="24"/>
      <c r="S48" s="25">
        <f t="shared" si="35"/>
        <v>0</v>
      </c>
      <c r="T48" s="25">
        <f t="shared" si="36"/>
        <v>305</v>
      </c>
      <c r="U48" s="25">
        <f t="shared" si="37"/>
        <v>0</v>
      </c>
      <c r="V48" s="25">
        <f>IF(OR('Men''s Epée'!$A$3=1,N48&gt;0),ABS(N48),0)</f>
        <v>0</v>
      </c>
      <c r="W48" s="25">
        <f>IF(OR('Men''s Epée'!$A$3=1,O48&gt;0),ABS(O48),0)</f>
        <v>0</v>
      </c>
      <c r="X48" s="25">
        <f>IF(OR('Men''s Epée'!$A$3=1,P48&gt;0),ABS(P48),0)</f>
        <v>0</v>
      </c>
      <c r="Y48" s="25">
        <f>IF(OR('Men''s Epée'!$A$3=1,Q48&gt;0),ABS(Q48),0)</f>
        <v>0</v>
      </c>
      <c r="AA48" s="12">
        <f>IF('Men''s Epée'!$S$3=TRUE,I48,0)</f>
        <v>0</v>
      </c>
      <c r="AB48" s="12">
        <f>IF('Men''s Epée'!$T$3=TRUE,K48,0)</f>
        <v>305</v>
      </c>
      <c r="AC48" s="12">
        <f>IF('Men''s Epée'!$U$3=TRUE,M48,0)</f>
        <v>0</v>
      </c>
      <c r="AD48" s="26">
        <f t="shared" si="38"/>
        <v>0</v>
      </c>
      <c r="AE48" s="26">
        <f t="shared" si="39"/>
        <v>0</v>
      </c>
      <c r="AF48" s="26">
        <f t="shared" si="40"/>
        <v>0</v>
      </c>
      <c r="AG48" s="26">
        <f t="shared" si="41"/>
        <v>0</v>
      </c>
      <c r="AH48" s="12">
        <f aca="true" t="shared" si="42" ref="AH48:AH58">LARGE(AA48:AG48,1)+LARGE(AA48:AG48,2)+F48</f>
        <v>305</v>
      </c>
    </row>
    <row r="49" spans="1:34" ht="13.5">
      <c r="A49" s="16" t="str">
        <f t="shared" si="0"/>
        <v>46T</v>
      </c>
      <c r="B49" s="16" t="str">
        <f t="shared" si="34"/>
        <v>#</v>
      </c>
      <c r="C49" s="17" t="s">
        <v>314</v>
      </c>
      <c r="D49" s="18">
        <v>1987</v>
      </c>
      <c r="E49" s="19">
        <f>ROUND(F49+IF('Men''s Epée'!$A$3=1,G49,0)+LARGE($S49:$Y49,1)+LARGE($S49:$Y49,2),0)</f>
        <v>265</v>
      </c>
      <c r="F49" s="20"/>
      <c r="G49" s="21"/>
      <c r="H49" s="21" t="s">
        <v>5</v>
      </c>
      <c r="I49" s="22">
        <f>IF(OR('Men''s Epée'!$A$3=1,'Men''s Epée'!$S$3=TRUE),IF(OR(H49&gt;=49,ISNUMBER(H49)=FALSE),0,VLOOKUP(H49,PointTable,I$3,TRUE)),0)</f>
        <v>0</v>
      </c>
      <c r="J49" s="21">
        <v>35</v>
      </c>
      <c r="K49" s="22">
        <f>IF(OR('Men''s Epée'!$A$3=1,'Men''s Epée'!$T$3=TRUE),IF(OR(J49&gt;=49,ISNUMBER(J49)=FALSE),0,VLOOKUP(J49,PointTable,K$3,TRUE)),0)</f>
        <v>265</v>
      </c>
      <c r="L49" s="21" t="s">
        <v>5</v>
      </c>
      <c r="M49" s="22">
        <f>IF(OR('Men''s Epée'!$A$3=1,'Men''s Epée'!$U$3=TRUE),IF(OR(L49&gt;=49,ISNUMBER(L49)=FALSE),0,VLOOKUP(L49,PointTable,M$3,TRUE)),0)</f>
        <v>0</v>
      </c>
      <c r="N49" s="23"/>
      <c r="O49" s="23"/>
      <c r="P49" s="23"/>
      <c r="Q49" s="24"/>
      <c r="S49" s="25">
        <f t="shared" si="35"/>
        <v>0</v>
      </c>
      <c r="T49" s="25">
        <f t="shared" si="36"/>
        <v>265</v>
      </c>
      <c r="U49" s="25">
        <f t="shared" si="37"/>
        <v>0</v>
      </c>
      <c r="V49" s="25">
        <f>IF(OR('Men''s Epée'!$A$3=1,N49&gt;0),ABS(N49),0)</f>
        <v>0</v>
      </c>
      <c r="W49" s="25">
        <f>IF(OR('Men''s Epée'!$A$3=1,O49&gt;0),ABS(O49),0)</f>
        <v>0</v>
      </c>
      <c r="X49" s="25">
        <f>IF(OR('Men''s Epée'!$A$3=1,P49&gt;0),ABS(P49),0)</f>
        <v>0</v>
      </c>
      <c r="Y49" s="25">
        <f>IF(OR('Men''s Epée'!$A$3=1,Q49&gt;0),ABS(Q49),0)</f>
        <v>0</v>
      </c>
      <c r="AA49" s="12">
        <f>IF('Men''s Epée'!$S$3=TRUE,I49,0)</f>
        <v>0</v>
      </c>
      <c r="AB49" s="12">
        <f>IF('Men''s Epée'!$T$3=TRUE,K49,0)</f>
        <v>265</v>
      </c>
      <c r="AC49" s="12">
        <f>IF('Men''s Epée'!$U$3=TRUE,M49,0)</f>
        <v>0</v>
      </c>
      <c r="AD49" s="26">
        <f t="shared" si="38"/>
        <v>0</v>
      </c>
      <c r="AE49" s="26">
        <f t="shared" si="39"/>
        <v>0</v>
      </c>
      <c r="AF49" s="26">
        <f t="shared" si="40"/>
        <v>0</v>
      </c>
      <c r="AG49" s="26">
        <f t="shared" si="41"/>
        <v>0</v>
      </c>
      <c r="AH49" s="12">
        <f t="shared" si="42"/>
        <v>265</v>
      </c>
    </row>
    <row r="50" spans="1:34" ht="13.5">
      <c r="A50" s="16" t="str">
        <f t="shared" si="0"/>
        <v>46T</v>
      </c>
      <c r="B50" s="16" t="str">
        <f t="shared" si="34"/>
        <v>#</v>
      </c>
      <c r="C50" s="17" t="s">
        <v>186</v>
      </c>
      <c r="D50" s="18">
        <v>1986</v>
      </c>
      <c r="E50" s="19">
        <f>ROUND(F50+IF('Men''s Epée'!$A$3=1,G50,0)+LARGE($S50:$Y50,1)+LARGE($S50:$Y50,2),0)</f>
        <v>265</v>
      </c>
      <c r="F50" s="20"/>
      <c r="G50" s="21"/>
      <c r="H50" s="21">
        <v>35</v>
      </c>
      <c r="I50" s="22">
        <f>IF(OR('Men''s Epée'!$A$3=1,'Men''s Epée'!$S$3=TRUE),IF(OR(H50&gt;=49,ISNUMBER(H50)=FALSE),0,VLOOKUP(H50,PointTable,I$3,TRUE)),0)</f>
        <v>265</v>
      </c>
      <c r="J50" s="21" t="s">
        <v>5</v>
      </c>
      <c r="K50" s="22">
        <f>IF(OR('Men''s Epée'!$A$3=1,'Men''s Epée'!$T$3=TRUE),IF(OR(J50&gt;=49,ISNUMBER(J50)=FALSE),0,VLOOKUP(J50,PointTable,K$3,TRUE)),0)</f>
        <v>0</v>
      </c>
      <c r="L50" s="21" t="s">
        <v>5</v>
      </c>
      <c r="M50" s="22">
        <f>IF(OR('Men''s Epée'!$A$3=1,'Men''s Epée'!$U$3=TRUE),IF(OR(L50&gt;=49,ISNUMBER(L50)=FALSE),0,VLOOKUP(L50,PointTable,M$3,TRUE)),0)</f>
        <v>0</v>
      </c>
      <c r="N50" s="23"/>
      <c r="O50" s="23"/>
      <c r="P50" s="23"/>
      <c r="Q50" s="24"/>
      <c r="S50" s="25">
        <f t="shared" si="35"/>
        <v>265</v>
      </c>
      <c r="T50" s="25">
        <f t="shared" si="36"/>
        <v>0</v>
      </c>
      <c r="U50" s="25">
        <f t="shared" si="37"/>
        <v>0</v>
      </c>
      <c r="V50" s="25">
        <f>IF(OR('Men''s Epée'!$A$3=1,N50&gt;0),ABS(N50),0)</f>
        <v>0</v>
      </c>
      <c r="W50" s="25">
        <f>IF(OR('Men''s Epée'!$A$3=1,O50&gt;0),ABS(O50),0)</f>
        <v>0</v>
      </c>
      <c r="X50" s="25">
        <f>IF(OR('Men''s Epée'!$A$3=1,P50&gt;0),ABS(P50),0)</f>
        <v>0</v>
      </c>
      <c r="Y50" s="25">
        <f>IF(OR('Men''s Epée'!$A$3=1,Q50&gt;0),ABS(Q50),0)</f>
        <v>0</v>
      </c>
      <c r="AA50" s="12">
        <f>IF('Men''s Epée'!$S$3=TRUE,I50,0)</f>
        <v>265</v>
      </c>
      <c r="AB50" s="12">
        <f>IF('Men''s Epée'!$T$3=TRUE,K50,0)</f>
        <v>0</v>
      </c>
      <c r="AC50" s="12">
        <f>IF('Men''s Epée'!$U$3=TRUE,M50,0)</f>
        <v>0</v>
      </c>
      <c r="AD50" s="26">
        <f t="shared" si="38"/>
        <v>0</v>
      </c>
      <c r="AE50" s="26">
        <f t="shared" si="39"/>
        <v>0</v>
      </c>
      <c r="AF50" s="26">
        <f t="shared" si="40"/>
        <v>0</v>
      </c>
      <c r="AG50" s="26">
        <f t="shared" si="41"/>
        <v>0</v>
      </c>
      <c r="AH50" s="12">
        <f t="shared" si="42"/>
        <v>265</v>
      </c>
    </row>
    <row r="51" spans="1:34" ht="13.5">
      <c r="A51" s="16" t="str">
        <f t="shared" si="0"/>
        <v>48</v>
      </c>
      <c r="B51" s="16">
        <f t="shared" si="34"/>
      </c>
      <c r="C51" s="17" t="s">
        <v>227</v>
      </c>
      <c r="D51" s="18">
        <v>1977</v>
      </c>
      <c r="E51" s="19">
        <f>ROUND(F51+IF('Men''s Epée'!$A$3=1,G51,0)+LARGE($S51:$Y51,1)+LARGE($S51:$Y51,2),0)</f>
        <v>260</v>
      </c>
      <c r="F51" s="20"/>
      <c r="G51" s="21"/>
      <c r="H51" s="21" t="s">
        <v>5</v>
      </c>
      <c r="I51" s="22">
        <f>IF(OR('Men''s Epée'!$A$3=1,'Men''s Epée'!$S$3=TRUE),IF(OR(H51&gt;=49,ISNUMBER(H51)=FALSE),0,VLOOKUP(H51,PointTable,I$3,TRUE)),0)</f>
        <v>0</v>
      </c>
      <c r="J51" s="21">
        <v>36</v>
      </c>
      <c r="K51" s="22">
        <f>IF(OR('Men''s Epée'!$A$3=1,'Men''s Epée'!$T$3=TRUE),IF(OR(J51&gt;=49,ISNUMBER(J51)=FALSE),0,VLOOKUP(J51,PointTable,K$3,TRUE)),0)</f>
        <v>260</v>
      </c>
      <c r="L51" s="21" t="s">
        <v>5</v>
      </c>
      <c r="M51" s="22">
        <f>IF(OR('Men''s Epée'!$A$3=1,'Men''s Epée'!$U$3=TRUE),IF(OR(L51&gt;=49,ISNUMBER(L51)=FALSE),0,VLOOKUP(L51,PointTable,M$3,TRUE)),0)</f>
        <v>0</v>
      </c>
      <c r="N51" s="23"/>
      <c r="O51" s="23"/>
      <c r="P51" s="23"/>
      <c r="Q51" s="24"/>
      <c r="S51" s="25">
        <f t="shared" si="35"/>
        <v>0</v>
      </c>
      <c r="T51" s="25">
        <f t="shared" si="36"/>
        <v>260</v>
      </c>
      <c r="U51" s="25">
        <f t="shared" si="37"/>
        <v>0</v>
      </c>
      <c r="V51" s="25">
        <f>IF(OR('Men''s Epée'!$A$3=1,N51&gt;0),ABS(N51),0)</f>
        <v>0</v>
      </c>
      <c r="W51" s="25">
        <f>IF(OR('Men''s Epée'!$A$3=1,O51&gt;0),ABS(O51),0)</f>
        <v>0</v>
      </c>
      <c r="X51" s="25">
        <f>IF(OR('Men''s Epée'!$A$3=1,P51&gt;0),ABS(P51),0)</f>
        <v>0</v>
      </c>
      <c r="Y51" s="25">
        <f>IF(OR('Men''s Epée'!$A$3=1,Q51&gt;0),ABS(Q51),0)</f>
        <v>0</v>
      </c>
      <c r="AA51" s="12">
        <f>IF('Men''s Epée'!$S$3=TRUE,I51,0)</f>
        <v>0</v>
      </c>
      <c r="AB51" s="12">
        <f>IF('Men''s Epée'!$T$3=TRUE,K51,0)</f>
        <v>260</v>
      </c>
      <c r="AC51" s="12">
        <f>IF('Men''s Epée'!$U$3=TRUE,M51,0)</f>
        <v>0</v>
      </c>
      <c r="AD51" s="26">
        <f t="shared" si="38"/>
        <v>0</v>
      </c>
      <c r="AE51" s="26">
        <f t="shared" si="39"/>
        <v>0</v>
      </c>
      <c r="AF51" s="26">
        <f t="shared" si="40"/>
        <v>0</v>
      </c>
      <c r="AG51" s="26">
        <f t="shared" si="41"/>
        <v>0</v>
      </c>
      <c r="AH51" s="12">
        <f t="shared" si="42"/>
        <v>260</v>
      </c>
    </row>
    <row r="52" spans="1:34" ht="13.5">
      <c r="A52" s="16" t="str">
        <f t="shared" si="0"/>
        <v>49</v>
      </c>
      <c r="B52" s="16" t="str">
        <f t="shared" si="34"/>
        <v>#</v>
      </c>
      <c r="C52" s="17" t="s">
        <v>337</v>
      </c>
      <c r="D52" s="18">
        <v>1987</v>
      </c>
      <c r="E52" s="19">
        <f>ROUND(F52+IF('Men''s Epée'!$A$3=1,G52,0)+LARGE($S52:$Y52,1)+LARGE($S52:$Y52,2),0)</f>
        <v>240</v>
      </c>
      <c r="F52" s="20"/>
      <c r="G52" s="21"/>
      <c r="H52" s="21" t="s">
        <v>5</v>
      </c>
      <c r="I52" s="22">
        <f>IF(OR('Men''s Epée'!$A$3=1,'Men''s Epée'!$S$3=TRUE),IF(OR(H52&gt;=49,ISNUMBER(H52)=FALSE),0,VLOOKUP(H52,PointTable,I$3,TRUE)),0)</f>
        <v>0</v>
      </c>
      <c r="J52" s="21">
        <v>40</v>
      </c>
      <c r="K52" s="22">
        <f>IF(OR('Men''s Epée'!$A$3=1,'Men''s Epée'!$T$3=TRUE),IF(OR(J52&gt;=49,ISNUMBER(J52)=FALSE),0,VLOOKUP(J52,PointTable,K$3,TRUE)),0)</f>
        <v>240</v>
      </c>
      <c r="L52" s="21" t="s">
        <v>5</v>
      </c>
      <c r="M52" s="22">
        <f>IF(OR('Men''s Epée'!$A$3=1,'Men''s Epée'!$U$3=TRUE),IF(OR(L52&gt;=49,ISNUMBER(L52)=FALSE),0,VLOOKUP(L52,PointTable,M$3,TRUE)),0)</f>
        <v>0</v>
      </c>
      <c r="N52" s="23"/>
      <c r="O52" s="23"/>
      <c r="P52" s="23"/>
      <c r="Q52" s="24"/>
      <c r="S52" s="25">
        <f t="shared" si="35"/>
        <v>0</v>
      </c>
      <c r="T52" s="25">
        <f t="shared" si="36"/>
        <v>240</v>
      </c>
      <c r="U52" s="25">
        <f t="shared" si="37"/>
        <v>0</v>
      </c>
      <c r="V52" s="25">
        <f>IF(OR('Men''s Epée'!$A$3=1,N52&gt;0),ABS(N52),0)</f>
        <v>0</v>
      </c>
      <c r="W52" s="25">
        <f>IF(OR('Men''s Epée'!$A$3=1,O52&gt;0),ABS(O52),0)</f>
        <v>0</v>
      </c>
      <c r="X52" s="25">
        <f>IF(OR('Men''s Epée'!$A$3=1,P52&gt;0),ABS(P52),0)</f>
        <v>0</v>
      </c>
      <c r="Y52" s="25">
        <f>IF(OR('Men''s Epée'!$A$3=1,Q52&gt;0),ABS(Q52),0)</f>
        <v>0</v>
      </c>
      <c r="AA52" s="12">
        <f>IF('Men''s Epée'!$S$3=TRUE,I52,0)</f>
        <v>0</v>
      </c>
      <c r="AB52" s="12">
        <f>IF('Men''s Epée'!$T$3=TRUE,K52,0)</f>
        <v>240</v>
      </c>
      <c r="AC52" s="12">
        <f>IF('Men''s Epée'!$U$3=TRUE,M52,0)</f>
        <v>0</v>
      </c>
      <c r="AD52" s="26">
        <f t="shared" si="38"/>
        <v>0</v>
      </c>
      <c r="AE52" s="26">
        <f t="shared" si="39"/>
        <v>0</v>
      </c>
      <c r="AF52" s="26">
        <f t="shared" si="40"/>
        <v>0</v>
      </c>
      <c r="AG52" s="26">
        <f t="shared" si="41"/>
        <v>0</v>
      </c>
      <c r="AH52" s="12">
        <f t="shared" si="42"/>
        <v>240</v>
      </c>
    </row>
    <row r="53" spans="1:34" ht="13.5">
      <c r="A53" s="16" t="str">
        <f t="shared" si="0"/>
        <v>50</v>
      </c>
      <c r="B53" s="16" t="str">
        <f t="shared" si="34"/>
        <v>#</v>
      </c>
      <c r="C53" s="17" t="s">
        <v>316</v>
      </c>
      <c r="D53" s="18">
        <v>1986</v>
      </c>
      <c r="E53" s="19">
        <f>ROUND(F53+IF('Men''s Epée'!$A$3=1,G53,0)+LARGE($S53:$Y53,1)+LARGE($S53:$Y53,2),0)</f>
        <v>235</v>
      </c>
      <c r="F53" s="20"/>
      <c r="G53" s="21"/>
      <c r="H53" s="21" t="s">
        <v>5</v>
      </c>
      <c r="I53" s="22">
        <f>IF(OR('Men''s Epée'!$A$3=1,'Men''s Epée'!$S$3=TRUE),IF(OR(H53&gt;=49,ISNUMBER(H53)=FALSE),0,VLOOKUP(H53,PointTable,I$3,TRUE)),0)</f>
        <v>0</v>
      </c>
      <c r="J53" s="21">
        <v>41</v>
      </c>
      <c r="K53" s="22">
        <f>IF(OR('Men''s Epée'!$A$3=1,'Men''s Epée'!$T$3=TRUE),IF(OR(J53&gt;=49,ISNUMBER(J53)=FALSE),0,VLOOKUP(J53,PointTable,K$3,TRUE)),0)</f>
        <v>235</v>
      </c>
      <c r="L53" s="21" t="s">
        <v>5</v>
      </c>
      <c r="M53" s="22">
        <f>IF(OR('Men''s Epée'!$A$3=1,'Men''s Epée'!$U$3=TRUE),IF(OR(L53&gt;=49,ISNUMBER(L53)=FALSE),0,VLOOKUP(L53,PointTable,M$3,TRUE)),0)</f>
        <v>0</v>
      </c>
      <c r="N53" s="23"/>
      <c r="O53" s="23"/>
      <c r="P53" s="23"/>
      <c r="Q53" s="24"/>
      <c r="S53" s="25">
        <f t="shared" si="35"/>
        <v>0</v>
      </c>
      <c r="T53" s="25">
        <f t="shared" si="36"/>
        <v>235</v>
      </c>
      <c r="U53" s="25">
        <f t="shared" si="37"/>
        <v>0</v>
      </c>
      <c r="V53" s="25">
        <f>IF(OR('Men''s Epée'!$A$3=1,N53&gt;0),ABS(N53),0)</f>
        <v>0</v>
      </c>
      <c r="W53" s="25">
        <f>IF(OR('Men''s Epée'!$A$3=1,O53&gt;0),ABS(O53),0)</f>
        <v>0</v>
      </c>
      <c r="X53" s="25">
        <f>IF(OR('Men''s Epée'!$A$3=1,P53&gt;0),ABS(P53),0)</f>
        <v>0</v>
      </c>
      <c r="Y53" s="25">
        <f>IF(OR('Men''s Epée'!$A$3=1,Q53&gt;0),ABS(Q53),0)</f>
        <v>0</v>
      </c>
      <c r="AA53" s="12">
        <f>IF('Men''s Epée'!$S$3=TRUE,I53,0)</f>
        <v>0</v>
      </c>
      <c r="AB53" s="12">
        <f>IF('Men''s Epée'!$T$3=TRUE,K53,0)</f>
        <v>235</v>
      </c>
      <c r="AC53" s="12">
        <f>IF('Men''s Epée'!$U$3=TRUE,M53,0)</f>
        <v>0</v>
      </c>
      <c r="AD53" s="26">
        <f t="shared" si="38"/>
        <v>0</v>
      </c>
      <c r="AE53" s="26">
        <f t="shared" si="39"/>
        <v>0</v>
      </c>
      <c r="AF53" s="26">
        <f t="shared" si="40"/>
        <v>0</v>
      </c>
      <c r="AG53" s="26">
        <f t="shared" si="41"/>
        <v>0</v>
      </c>
      <c r="AH53" s="12">
        <f t="shared" si="42"/>
        <v>235</v>
      </c>
    </row>
    <row r="54" spans="1:34" ht="13.5">
      <c r="A54" s="16" t="str">
        <f t="shared" si="0"/>
        <v>51</v>
      </c>
      <c r="B54" s="16">
        <f t="shared" si="34"/>
      </c>
      <c r="C54" s="17" t="s">
        <v>81</v>
      </c>
      <c r="D54" s="18">
        <v>1981</v>
      </c>
      <c r="E54" s="19">
        <f>ROUND(F54+IF('Men''s Epée'!$A$3=1,G54,0)+LARGE($S54:$Y54,1)+LARGE($S54:$Y54,2),0)</f>
        <v>230</v>
      </c>
      <c r="F54" s="20"/>
      <c r="G54" s="21"/>
      <c r="H54" s="21" t="s">
        <v>5</v>
      </c>
      <c r="I54" s="22">
        <f>IF(OR('Men''s Epée'!$A$3=1,'Men''s Epée'!$S$3=TRUE),IF(OR(H54&gt;=49,ISNUMBER(H54)=FALSE),0,VLOOKUP(H54,PointTable,I$3,TRUE)),0)</f>
        <v>0</v>
      </c>
      <c r="J54" s="21">
        <v>42</v>
      </c>
      <c r="K54" s="22">
        <f>IF(OR('Men''s Epée'!$A$3=1,'Men''s Epée'!$T$3=TRUE),IF(OR(J54&gt;=49,ISNUMBER(J54)=FALSE),0,VLOOKUP(J54,PointTable,K$3,TRUE)),0)</f>
        <v>230</v>
      </c>
      <c r="L54" s="21" t="s">
        <v>5</v>
      </c>
      <c r="M54" s="22">
        <f>IF(OR('Men''s Epée'!$A$3=1,'Men''s Epée'!$U$3=TRUE),IF(OR(L54&gt;=49,ISNUMBER(L54)=FALSE),0,VLOOKUP(L54,PointTable,M$3,TRUE)),0)</f>
        <v>0</v>
      </c>
      <c r="N54" s="23"/>
      <c r="O54" s="23"/>
      <c r="P54" s="23"/>
      <c r="Q54" s="24"/>
      <c r="S54" s="25">
        <f t="shared" si="35"/>
        <v>0</v>
      </c>
      <c r="T54" s="25">
        <f t="shared" si="36"/>
        <v>230</v>
      </c>
      <c r="U54" s="25">
        <f t="shared" si="37"/>
        <v>0</v>
      </c>
      <c r="V54" s="25">
        <f>IF(OR('Men''s Epée'!$A$3=1,N54&gt;0),ABS(N54),0)</f>
        <v>0</v>
      </c>
      <c r="W54" s="25">
        <f>IF(OR('Men''s Epée'!$A$3=1,O54&gt;0),ABS(O54),0)</f>
        <v>0</v>
      </c>
      <c r="X54" s="25">
        <f>IF(OR('Men''s Epée'!$A$3=1,P54&gt;0),ABS(P54),0)</f>
        <v>0</v>
      </c>
      <c r="Y54" s="25">
        <f>IF(OR('Men''s Epée'!$A$3=1,Q54&gt;0),ABS(Q54),0)</f>
        <v>0</v>
      </c>
      <c r="AA54" s="12">
        <f>IF('Men''s Epée'!$S$3=TRUE,I54,0)</f>
        <v>0</v>
      </c>
      <c r="AB54" s="12">
        <f>IF('Men''s Epée'!$T$3=TRUE,K54,0)</f>
        <v>230</v>
      </c>
      <c r="AC54" s="12">
        <f>IF('Men''s Epée'!$U$3=TRUE,M54,0)</f>
        <v>0</v>
      </c>
      <c r="AD54" s="26">
        <f t="shared" si="38"/>
        <v>0</v>
      </c>
      <c r="AE54" s="26">
        <f t="shared" si="39"/>
        <v>0</v>
      </c>
      <c r="AF54" s="26">
        <f t="shared" si="40"/>
        <v>0</v>
      </c>
      <c r="AG54" s="26">
        <f t="shared" si="41"/>
        <v>0</v>
      </c>
      <c r="AH54" s="12">
        <f t="shared" si="42"/>
        <v>230</v>
      </c>
    </row>
    <row r="55" spans="1:34" ht="13.5">
      <c r="A55" s="16" t="str">
        <f t="shared" si="0"/>
        <v>52T</v>
      </c>
      <c r="B55" s="16">
        <f t="shared" si="34"/>
      </c>
      <c r="C55" s="17" t="s">
        <v>135</v>
      </c>
      <c r="D55" s="18">
        <v>1980</v>
      </c>
      <c r="E55" s="19">
        <f>ROUND(F55+IF('Men''s Epée'!$A$3=1,G55,0)+LARGE($S55:$Y55,1)+LARGE($S55:$Y55,2),0)</f>
        <v>225</v>
      </c>
      <c r="F55" s="20"/>
      <c r="G55" s="21"/>
      <c r="H55" s="21" t="s">
        <v>5</v>
      </c>
      <c r="I55" s="22">
        <f>IF(OR('Men''s Epée'!$A$3=1,'Men''s Epée'!$S$3=TRUE),IF(OR(H55&gt;=49,ISNUMBER(H55)=FALSE),0,VLOOKUP(H55,PointTable,I$3,TRUE)),0)</f>
        <v>0</v>
      </c>
      <c r="J55" s="21">
        <v>43</v>
      </c>
      <c r="K55" s="22">
        <f>IF(OR('Men''s Epée'!$A$3=1,'Men''s Epée'!$T$3=TRUE),IF(OR(J55&gt;=49,ISNUMBER(J55)=FALSE),0,VLOOKUP(J55,PointTable,K$3,TRUE)),0)</f>
        <v>225</v>
      </c>
      <c r="L55" s="21" t="s">
        <v>5</v>
      </c>
      <c r="M55" s="22">
        <f>IF(OR('Men''s Epée'!$A$3=1,'Men''s Epée'!$U$3=TRUE),IF(OR(L55&gt;=49,ISNUMBER(L55)=FALSE),0,VLOOKUP(L55,PointTable,M$3,TRUE)),0)</f>
        <v>0</v>
      </c>
      <c r="N55" s="23"/>
      <c r="O55" s="23"/>
      <c r="P55" s="23"/>
      <c r="Q55" s="24"/>
      <c r="S55" s="25">
        <f t="shared" si="35"/>
        <v>0</v>
      </c>
      <c r="T55" s="25">
        <f t="shared" si="36"/>
        <v>225</v>
      </c>
      <c r="U55" s="25">
        <f t="shared" si="37"/>
        <v>0</v>
      </c>
      <c r="V55" s="25">
        <f>IF(OR('Men''s Epée'!$A$3=1,N55&gt;0),ABS(N55),0)</f>
        <v>0</v>
      </c>
      <c r="W55" s="25">
        <f>IF(OR('Men''s Epée'!$A$3=1,O55&gt;0),ABS(O55),0)</f>
        <v>0</v>
      </c>
      <c r="X55" s="25">
        <f>IF(OR('Men''s Epée'!$A$3=1,P55&gt;0),ABS(P55),0)</f>
        <v>0</v>
      </c>
      <c r="Y55" s="25">
        <f>IF(OR('Men''s Epée'!$A$3=1,Q55&gt;0),ABS(Q55),0)</f>
        <v>0</v>
      </c>
      <c r="AA55" s="12">
        <f>IF('Men''s Epée'!$S$3=TRUE,I55,0)</f>
        <v>0</v>
      </c>
      <c r="AB55" s="12">
        <f>IF('Men''s Epée'!$T$3=TRUE,K55,0)</f>
        <v>225</v>
      </c>
      <c r="AC55" s="12">
        <f>IF('Men''s Epée'!$U$3=TRUE,M55,0)</f>
        <v>0</v>
      </c>
      <c r="AD55" s="26">
        <f t="shared" si="38"/>
        <v>0</v>
      </c>
      <c r="AE55" s="26">
        <f t="shared" si="39"/>
        <v>0</v>
      </c>
      <c r="AF55" s="26">
        <f t="shared" si="40"/>
        <v>0</v>
      </c>
      <c r="AG55" s="26">
        <f t="shared" si="41"/>
        <v>0</v>
      </c>
      <c r="AH55" s="12">
        <f t="shared" si="42"/>
        <v>225</v>
      </c>
    </row>
    <row r="56" spans="1:34" ht="13.5">
      <c r="A56" s="16" t="str">
        <f t="shared" si="0"/>
        <v>52T</v>
      </c>
      <c r="B56" s="16">
        <f t="shared" si="34"/>
      </c>
      <c r="C56" s="17" t="s">
        <v>228</v>
      </c>
      <c r="D56" s="18">
        <v>1967</v>
      </c>
      <c r="E56" s="19">
        <f>ROUND(F56+IF('Men''s Epée'!$A$3=1,G56,0)+LARGE($S56:$Y56,1)+LARGE($S56:$Y56,2),0)</f>
        <v>225</v>
      </c>
      <c r="F56" s="20"/>
      <c r="G56" s="21"/>
      <c r="H56" s="21">
        <v>43</v>
      </c>
      <c r="I56" s="22">
        <f>IF(OR('Men''s Epée'!$A$3=1,'Men''s Epée'!$S$3=TRUE),IF(OR(H56&gt;=49,ISNUMBER(H56)=FALSE),0,VLOOKUP(H56,PointTable,I$3,TRUE)),0)</f>
        <v>225</v>
      </c>
      <c r="J56" s="21" t="s">
        <v>5</v>
      </c>
      <c r="K56" s="22">
        <f>IF(OR('Men''s Epée'!$A$3=1,'Men''s Epée'!$T$3=TRUE),IF(OR(J56&gt;=49,ISNUMBER(J56)=FALSE),0,VLOOKUP(J56,PointTable,K$3,TRUE)),0)</f>
        <v>0</v>
      </c>
      <c r="L56" s="21" t="s">
        <v>5</v>
      </c>
      <c r="M56" s="22">
        <f>IF(OR('Men''s Epée'!$A$3=1,'Men''s Epée'!$U$3=TRUE),IF(OR(L56&gt;=49,ISNUMBER(L56)=FALSE),0,VLOOKUP(L56,PointTable,M$3,TRUE)),0)</f>
        <v>0</v>
      </c>
      <c r="N56" s="23"/>
      <c r="O56" s="23"/>
      <c r="P56" s="23"/>
      <c r="Q56" s="24"/>
      <c r="S56" s="25">
        <f t="shared" si="35"/>
        <v>225</v>
      </c>
      <c r="T56" s="25">
        <f t="shared" si="36"/>
        <v>0</v>
      </c>
      <c r="U56" s="25">
        <f t="shared" si="37"/>
        <v>0</v>
      </c>
      <c r="V56" s="25">
        <f>IF(OR('Men''s Epée'!$A$3=1,N56&gt;0),ABS(N56),0)</f>
        <v>0</v>
      </c>
      <c r="W56" s="25">
        <f>IF(OR('Men''s Epée'!$A$3=1,O56&gt;0),ABS(O56),0)</f>
        <v>0</v>
      </c>
      <c r="X56" s="25">
        <f>IF(OR('Men''s Epée'!$A$3=1,P56&gt;0),ABS(P56),0)</f>
        <v>0</v>
      </c>
      <c r="Y56" s="25">
        <f>IF(OR('Men''s Epée'!$A$3=1,Q56&gt;0),ABS(Q56),0)</f>
        <v>0</v>
      </c>
      <c r="AA56" s="12">
        <f>IF('Men''s Epée'!$S$3=TRUE,I56,0)</f>
        <v>225</v>
      </c>
      <c r="AB56" s="12">
        <f>IF('Men''s Epée'!$T$3=TRUE,K56,0)</f>
        <v>0</v>
      </c>
      <c r="AC56" s="12">
        <f>IF('Men''s Epée'!$U$3=TRUE,M56,0)</f>
        <v>0</v>
      </c>
      <c r="AD56" s="26">
        <f t="shared" si="38"/>
        <v>0</v>
      </c>
      <c r="AE56" s="26">
        <f t="shared" si="39"/>
        <v>0</v>
      </c>
      <c r="AF56" s="26">
        <f t="shared" si="40"/>
        <v>0</v>
      </c>
      <c r="AG56" s="26">
        <f t="shared" si="41"/>
        <v>0</v>
      </c>
      <c r="AH56" s="12">
        <f t="shared" si="42"/>
        <v>225</v>
      </c>
    </row>
    <row r="57" spans="1:34" ht="13.5">
      <c r="A57" s="16" t="str">
        <f t="shared" si="0"/>
        <v>54</v>
      </c>
      <c r="B57" s="16">
        <f t="shared" si="34"/>
      </c>
      <c r="C57" s="17" t="s">
        <v>289</v>
      </c>
      <c r="D57" s="18">
        <v>1951</v>
      </c>
      <c r="E57" s="19">
        <f>ROUND(F57+IF('Men''s Epée'!$A$3=1,G57,0)+LARGE($S57:$Y57,1)+LARGE($S57:$Y57,2),0)</f>
        <v>208</v>
      </c>
      <c r="F57" s="20"/>
      <c r="G57" s="21"/>
      <c r="H57" s="21">
        <v>46.5</v>
      </c>
      <c r="I57" s="22">
        <f>IF(OR('Men''s Epée'!$A$3=1,'Men''s Epée'!$S$3=TRUE),IF(OR(H57&gt;=49,ISNUMBER(H57)=FALSE),0,VLOOKUP(H57,PointTable,I$3,TRUE)),0)</f>
        <v>207.5</v>
      </c>
      <c r="J57" s="21" t="s">
        <v>5</v>
      </c>
      <c r="K57" s="22">
        <f>IF(OR('Men''s Epée'!$A$3=1,'Men''s Epée'!$T$3=TRUE),IF(OR(J57&gt;=49,ISNUMBER(J57)=FALSE),0,VLOOKUP(J57,PointTable,K$3,TRUE)),0)</f>
        <v>0</v>
      </c>
      <c r="L57" s="21" t="s">
        <v>5</v>
      </c>
      <c r="M57" s="22">
        <f>IF(OR('Men''s Epée'!$A$3=1,'Men''s Epée'!$U$3=TRUE),IF(OR(L57&gt;=49,ISNUMBER(L57)=FALSE),0,VLOOKUP(L57,PointTable,M$3,TRUE)),0)</f>
        <v>0</v>
      </c>
      <c r="N57" s="23"/>
      <c r="O57" s="23"/>
      <c r="P57" s="23"/>
      <c r="Q57" s="24"/>
      <c r="S57" s="25">
        <f t="shared" si="35"/>
        <v>207.5</v>
      </c>
      <c r="T57" s="25">
        <f t="shared" si="36"/>
        <v>0</v>
      </c>
      <c r="U57" s="25">
        <f t="shared" si="37"/>
        <v>0</v>
      </c>
      <c r="V57" s="25">
        <f>IF(OR('Men''s Epée'!$A$3=1,N57&gt;0),ABS(N57),0)</f>
        <v>0</v>
      </c>
      <c r="W57" s="25">
        <f>IF(OR('Men''s Epée'!$A$3=1,O57&gt;0),ABS(O57),0)</f>
        <v>0</v>
      </c>
      <c r="X57" s="25">
        <f>IF(OR('Men''s Epée'!$A$3=1,P57&gt;0),ABS(P57),0)</f>
        <v>0</v>
      </c>
      <c r="Y57" s="25">
        <f>IF(OR('Men''s Epée'!$A$3=1,Q57&gt;0),ABS(Q57),0)</f>
        <v>0</v>
      </c>
      <c r="AA57" s="12">
        <f>IF('Men''s Epée'!$S$3=TRUE,I57,0)</f>
        <v>207.5</v>
      </c>
      <c r="AB57" s="12">
        <f>IF('Men''s Epée'!$T$3=TRUE,K57,0)</f>
        <v>0</v>
      </c>
      <c r="AC57" s="12">
        <f>IF('Men''s Epée'!$U$3=TRUE,M57,0)</f>
        <v>0</v>
      </c>
      <c r="AD57" s="26">
        <f t="shared" si="38"/>
        <v>0</v>
      </c>
      <c r="AE57" s="26">
        <f t="shared" si="39"/>
        <v>0</v>
      </c>
      <c r="AF57" s="26">
        <f t="shared" si="40"/>
        <v>0</v>
      </c>
      <c r="AG57" s="26">
        <f t="shared" si="41"/>
        <v>0</v>
      </c>
      <c r="AH57" s="12">
        <f t="shared" si="42"/>
        <v>207.5</v>
      </c>
    </row>
    <row r="58" spans="1:34" ht="13.5">
      <c r="A58" s="16" t="str">
        <f t="shared" si="0"/>
        <v>55</v>
      </c>
      <c r="B58" s="16">
        <f t="shared" si="34"/>
      </c>
      <c r="C58" s="17" t="s">
        <v>305</v>
      </c>
      <c r="D58" s="18">
        <v>1971</v>
      </c>
      <c r="E58" s="19">
        <f>ROUND(F58+IF('Men''s Epée'!$A$3=1,G58,0)+LARGE($S58:$Y58,1)+LARGE($S58:$Y58,2),0)</f>
        <v>200</v>
      </c>
      <c r="F58" s="20"/>
      <c r="G58" s="21"/>
      <c r="H58" s="21">
        <v>48</v>
      </c>
      <c r="I58" s="22">
        <f>IF(OR('Men''s Epée'!$A$3=1,'Men''s Epée'!$S$3=TRUE),IF(OR(H58&gt;=49,ISNUMBER(H58)=FALSE),0,VLOOKUP(H58,PointTable,I$3,TRUE)),0)</f>
        <v>200</v>
      </c>
      <c r="J58" s="21" t="s">
        <v>5</v>
      </c>
      <c r="K58" s="22">
        <f>IF(OR('Men''s Epée'!$A$3=1,'Men''s Epée'!$T$3=TRUE),IF(OR(J58&gt;=49,ISNUMBER(J58)=FALSE),0,VLOOKUP(J58,PointTable,K$3,TRUE)),0)</f>
        <v>0</v>
      </c>
      <c r="L58" s="21" t="s">
        <v>5</v>
      </c>
      <c r="M58" s="22">
        <f>IF(OR('Men''s Epée'!$A$3=1,'Men''s Epée'!$U$3=TRUE),IF(OR(L58&gt;=49,ISNUMBER(L58)=FALSE),0,VLOOKUP(L58,PointTable,M$3,TRUE)),0)</f>
        <v>0</v>
      </c>
      <c r="N58" s="23"/>
      <c r="O58" s="23"/>
      <c r="P58" s="23"/>
      <c r="Q58" s="24"/>
      <c r="S58" s="25">
        <f t="shared" si="35"/>
        <v>200</v>
      </c>
      <c r="T58" s="25">
        <f t="shared" si="36"/>
        <v>0</v>
      </c>
      <c r="U58" s="25">
        <f t="shared" si="37"/>
        <v>0</v>
      </c>
      <c r="V58" s="25">
        <f>IF(OR('Men''s Epée'!$A$3=1,N58&gt;0),ABS(N58),0)</f>
        <v>0</v>
      </c>
      <c r="W58" s="25">
        <f>IF(OR('Men''s Epée'!$A$3=1,O58&gt;0),ABS(O58),0)</f>
        <v>0</v>
      </c>
      <c r="X58" s="25">
        <f>IF(OR('Men''s Epée'!$A$3=1,P58&gt;0),ABS(P58),0)</f>
        <v>0</v>
      </c>
      <c r="Y58" s="25">
        <f>IF(OR('Men''s Epée'!$A$3=1,Q58&gt;0),ABS(Q58),0)</f>
        <v>0</v>
      </c>
      <c r="AA58" s="12">
        <f>IF('Men''s Epée'!$S$3=TRUE,I58,0)</f>
        <v>200</v>
      </c>
      <c r="AB58" s="12">
        <f>IF('Men''s Epée'!$T$3=TRUE,K58,0)</f>
        <v>0</v>
      </c>
      <c r="AC58" s="12">
        <f>IF('Men''s Epée'!$U$3=TRUE,M58,0)</f>
        <v>0</v>
      </c>
      <c r="AD58" s="26">
        <f t="shared" si="38"/>
        <v>0</v>
      </c>
      <c r="AE58" s="26">
        <f t="shared" si="39"/>
        <v>0</v>
      </c>
      <c r="AF58" s="26">
        <f t="shared" si="40"/>
        <v>0</v>
      </c>
      <c r="AG58" s="26">
        <f t="shared" si="41"/>
        <v>0</v>
      </c>
      <c r="AH58" s="12">
        <f t="shared" si="42"/>
        <v>200</v>
      </c>
    </row>
    <row r="59" spans="12:34" ht="13.5">
      <c r="L59"/>
      <c r="AA59" s="12"/>
      <c r="AB59" s="12"/>
      <c r="AC59" s="12"/>
      <c r="AD59" s="12"/>
      <c r="AE59" s="12"/>
      <c r="AF59" s="12"/>
      <c r="AG59" s="12"/>
      <c r="AH59" s="12"/>
    </row>
    <row r="60" spans="3:34" ht="13.5">
      <c r="C60" s="30" t="s">
        <v>18</v>
      </c>
      <c r="F60" s="25"/>
      <c r="G60" s="25"/>
      <c r="H60" s="25"/>
      <c r="I60" s="25"/>
      <c r="L60" s="31" t="s">
        <v>19</v>
      </c>
      <c r="M60" s="31" t="s">
        <v>20</v>
      </c>
      <c r="N60" s="25"/>
      <c r="AA60" s="12"/>
      <c r="AB60" s="12"/>
      <c r="AC60" s="12"/>
      <c r="AD60" s="12"/>
      <c r="AE60" s="12"/>
      <c r="AF60" s="12"/>
      <c r="AG60" s="12"/>
      <c r="AH60" s="12"/>
    </row>
    <row r="61" spans="3:34" ht="13.5">
      <c r="C61" s="17" t="s">
        <v>66</v>
      </c>
      <c r="D61" s="18" t="s">
        <v>370</v>
      </c>
      <c r="L61" s="32">
        <v>12</v>
      </c>
      <c r="M61" s="33">
        <v>1063.92</v>
      </c>
      <c r="N61" s="34"/>
      <c r="AA61" s="12"/>
      <c r="AB61" s="12"/>
      <c r="AC61" s="12"/>
      <c r="AD61" s="12"/>
      <c r="AE61" s="12"/>
      <c r="AF61" s="12"/>
      <c r="AG61" s="12"/>
      <c r="AH61" s="12"/>
    </row>
    <row r="62" spans="3:34" ht="13.5">
      <c r="C62" s="17" t="s">
        <v>66</v>
      </c>
      <c r="D62" s="32" t="s">
        <v>424</v>
      </c>
      <c r="L62" s="32">
        <v>8</v>
      </c>
      <c r="M62" s="33">
        <v>632.94</v>
      </c>
      <c r="N62" s="34"/>
      <c r="AA62" s="12"/>
      <c r="AB62" s="12"/>
      <c r="AC62" s="12"/>
      <c r="AD62" s="12"/>
      <c r="AE62" s="12"/>
      <c r="AF62" s="12"/>
      <c r="AG62" s="12"/>
      <c r="AH62" s="12"/>
    </row>
    <row r="63" spans="14:34" ht="13.5">
      <c r="N63" s="28"/>
      <c r="AA63" s="12"/>
      <c r="AB63" s="12"/>
      <c r="AC63" s="12"/>
      <c r="AD63" s="12"/>
      <c r="AE63" s="12"/>
      <c r="AF63" s="12"/>
      <c r="AG63" s="12"/>
      <c r="AH63" s="12"/>
    </row>
    <row r="64" spans="3:14" ht="12.75">
      <c r="C64" s="30" t="s">
        <v>21</v>
      </c>
      <c r="F64" s="25"/>
      <c r="G64" s="25"/>
      <c r="H64" s="25"/>
      <c r="I64" s="25"/>
      <c r="L64" s="31" t="s">
        <v>19</v>
      </c>
      <c r="M64" s="31" t="s">
        <v>20</v>
      </c>
      <c r="N64" s="25"/>
    </row>
    <row r="65" spans="2:14" ht="12.75">
      <c r="B65" s="43"/>
      <c r="C65" s="17" t="s">
        <v>54</v>
      </c>
      <c r="D65" s="32" t="s">
        <v>414</v>
      </c>
      <c r="F65" s="25"/>
      <c r="G65" s="25"/>
      <c r="H65" s="25"/>
      <c r="I65" s="25"/>
      <c r="K65" s="25"/>
      <c r="L65" s="32">
        <v>64</v>
      </c>
      <c r="M65" s="18">
        <v>72</v>
      </c>
      <c r="N65" s="25"/>
    </row>
    <row r="66" spans="2:14" ht="12.75">
      <c r="B66" s="43"/>
      <c r="C66" s="17" t="s">
        <v>240</v>
      </c>
      <c r="D66" s="18" t="s">
        <v>239</v>
      </c>
      <c r="F66" s="25"/>
      <c r="G66" s="25"/>
      <c r="H66" s="25"/>
      <c r="I66" s="25"/>
      <c r="K66" s="25"/>
      <c r="L66" s="32">
        <v>25</v>
      </c>
      <c r="M66" s="18">
        <v>620</v>
      </c>
      <c r="N66" s="25"/>
    </row>
    <row r="67" spans="2:14" ht="12.75">
      <c r="B67" s="43"/>
      <c r="C67" s="17" t="s">
        <v>240</v>
      </c>
      <c r="D67" s="32" t="s">
        <v>414</v>
      </c>
      <c r="F67" s="25"/>
      <c r="G67" s="25"/>
      <c r="H67" s="25"/>
      <c r="I67" s="25"/>
      <c r="K67" s="25"/>
      <c r="L67" s="32">
        <v>28</v>
      </c>
      <c r="M67" s="18">
        <v>676</v>
      </c>
      <c r="N67" s="25"/>
    </row>
    <row r="68" spans="2:14" ht="12.75">
      <c r="B68" s="43"/>
      <c r="C68" s="17" t="s">
        <v>415</v>
      </c>
      <c r="D68" s="32" t="s">
        <v>414</v>
      </c>
      <c r="F68" s="25"/>
      <c r="G68" s="25"/>
      <c r="H68" s="25"/>
      <c r="I68" s="25"/>
      <c r="K68" s="25"/>
      <c r="L68" s="32">
        <v>63</v>
      </c>
      <c r="M68" s="18">
        <v>80</v>
      </c>
      <c r="N68" s="25"/>
    </row>
    <row r="69" spans="2:14" ht="12.75">
      <c r="B69" s="43"/>
      <c r="C69" s="17" t="s">
        <v>68</v>
      </c>
      <c r="D69" s="18" t="s">
        <v>364</v>
      </c>
      <c r="F69" s="25"/>
      <c r="G69" s="25"/>
      <c r="H69" s="25"/>
      <c r="I69" s="25"/>
      <c r="K69" s="25"/>
      <c r="L69" s="32">
        <v>51</v>
      </c>
      <c r="M69" s="18">
        <v>176</v>
      </c>
      <c r="N69" s="25"/>
    </row>
    <row r="70" spans="2:14" ht="12.75">
      <c r="B70" s="43"/>
      <c r="C70" s="17" t="s">
        <v>69</v>
      </c>
      <c r="D70" s="32" t="s">
        <v>414</v>
      </c>
      <c r="F70" s="25"/>
      <c r="G70" s="25"/>
      <c r="H70" s="25"/>
      <c r="I70" s="25"/>
      <c r="K70" s="25"/>
      <c r="L70" s="32">
        <v>50</v>
      </c>
      <c r="M70" s="18">
        <v>184</v>
      </c>
      <c r="N70" s="25"/>
    </row>
    <row r="71" spans="2:14" ht="12.75">
      <c r="B71" s="43"/>
      <c r="C71" s="17" t="s">
        <v>66</v>
      </c>
      <c r="D71" s="32" t="s">
        <v>414</v>
      </c>
      <c r="F71" s="25"/>
      <c r="G71" s="25"/>
      <c r="H71" s="25"/>
      <c r="I71" s="25"/>
      <c r="K71" s="25"/>
      <c r="L71" s="39" t="s">
        <v>416</v>
      </c>
      <c r="M71" s="18">
        <v>260</v>
      </c>
      <c r="N71" s="25"/>
    </row>
    <row r="72" spans="2:14" ht="12.75">
      <c r="B72" s="43"/>
      <c r="C72" s="17" t="s">
        <v>76</v>
      </c>
      <c r="D72" s="32" t="s">
        <v>414</v>
      </c>
      <c r="F72" s="25"/>
      <c r="G72" s="25"/>
      <c r="H72" s="25"/>
      <c r="I72" s="25"/>
      <c r="K72" s="25"/>
      <c r="L72" s="39" t="s">
        <v>416</v>
      </c>
      <c r="M72" s="18">
        <v>260</v>
      </c>
      <c r="N72" s="25"/>
    </row>
    <row r="73" spans="2:14" ht="12.75">
      <c r="B73" s="43"/>
      <c r="C73" s="17" t="s">
        <v>67</v>
      </c>
      <c r="D73" s="18" t="s">
        <v>239</v>
      </c>
      <c r="F73" s="25"/>
      <c r="G73" s="25"/>
      <c r="H73" s="25"/>
      <c r="I73" s="25"/>
      <c r="K73" s="25"/>
      <c r="L73" s="32">
        <v>20</v>
      </c>
      <c r="M73" s="18">
        <v>670</v>
      </c>
      <c r="N73" s="25"/>
    </row>
    <row r="74" spans="2:14" ht="12.75">
      <c r="B74" s="43"/>
      <c r="C74" s="17" t="s">
        <v>67</v>
      </c>
      <c r="D74" s="18" t="s">
        <v>364</v>
      </c>
      <c r="F74" s="25"/>
      <c r="G74" s="25"/>
      <c r="H74" s="25"/>
      <c r="I74" s="25"/>
      <c r="K74" s="25"/>
      <c r="L74" s="32">
        <v>40</v>
      </c>
      <c r="M74" s="18">
        <v>264</v>
      </c>
      <c r="N74" s="25"/>
    </row>
  </sheetData>
  <printOptions horizontalCentered="1"/>
  <pageMargins left="0.25" right="0.25" top="0.95" bottom="0.95" header="0.25" footer="0.25"/>
  <pageSetup horizontalDpi="300" verticalDpi="300" orientation="landscape" r:id="rId1"/>
  <headerFooter alignWithMargins="0">
    <oddHeader>&amp;C&amp;"Times New Roman,Bold"&amp;16 2001-2002 USFA Point Standings
Senior &amp;A - Rolling Standings</oddHeader>
    <oddFooter>&amp;L&amp;"Arial,Bold"* Permanent Resident
# Junior&amp;"Arial,Regular"
Total = Best 3 plus Group II&amp;CPage &amp;P&amp;R&amp;"Arial,Bold"np = Did not earn points (including not competing)&amp;"Arial,Regular"
Printed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H109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8" customWidth="1"/>
    <col min="2" max="2" width="3.28125" style="18" customWidth="1"/>
    <col min="3" max="3" width="27.421875" style="37" customWidth="1"/>
    <col min="4" max="4" width="5.421875" style="18" customWidth="1"/>
    <col min="5" max="5" width="8.00390625" style="18" customWidth="1"/>
    <col min="6" max="7" width="5.7109375" style="19" customWidth="1"/>
    <col min="8" max="8" width="5.421875" style="19" customWidth="1"/>
    <col min="9" max="13" width="5.421875" style="28" customWidth="1"/>
    <col min="14" max="17" width="4.7109375" style="29" customWidth="1"/>
    <col min="18" max="18" width="9.140625" style="25" customWidth="1"/>
    <col min="19" max="34" width="9.140625" style="25" hidden="1" customWidth="1"/>
    <col min="35" max="16384" width="9.140625" style="25" customWidth="1"/>
  </cols>
  <sheetData>
    <row r="1" spans="1:17" s="8" customFormat="1" ht="12.75" customHeight="1">
      <c r="A1" s="35"/>
      <c r="B1" s="1"/>
      <c r="C1" s="2" t="s">
        <v>0</v>
      </c>
      <c r="D1" s="3" t="s">
        <v>1</v>
      </c>
      <c r="E1" s="3" t="s">
        <v>2</v>
      </c>
      <c r="F1" s="4" t="s">
        <v>3</v>
      </c>
      <c r="G1" s="5"/>
      <c r="H1" s="4" t="s">
        <v>245</v>
      </c>
      <c r="I1" s="6"/>
      <c r="J1" s="4" t="s">
        <v>310</v>
      </c>
      <c r="K1" s="6"/>
      <c r="L1" s="4" t="s">
        <v>382</v>
      </c>
      <c r="M1" s="6"/>
      <c r="N1" s="7" t="s">
        <v>4</v>
      </c>
      <c r="O1" s="7"/>
      <c r="P1" s="7"/>
      <c r="Q1" s="6"/>
    </row>
    <row r="2" spans="1:27" s="8" customFormat="1" ht="18.75" customHeight="1">
      <c r="A2" s="1"/>
      <c r="B2" s="1"/>
      <c r="C2" s="2"/>
      <c r="D2" s="2"/>
      <c r="E2" s="3"/>
      <c r="F2" s="4" t="s">
        <v>376</v>
      </c>
      <c r="G2" s="9" t="s">
        <v>377</v>
      </c>
      <c r="H2" s="4" t="s">
        <v>236</v>
      </c>
      <c r="I2" s="6" t="s">
        <v>246</v>
      </c>
      <c r="J2" s="4" t="s">
        <v>236</v>
      </c>
      <c r="K2" s="6" t="s">
        <v>311</v>
      </c>
      <c r="L2" s="4" t="s">
        <v>381</v>
      </c>
      <c r="M2" s="6" t="s">
        <v>383</v>
      </c>
      <c r="N2" s="4" t="s">
        <v>4</v>
      </c>
      <c r="O2" s="7"/>
      <c r="P2" s="10"/>
      <c r="Q2" s="11"/>
      <c r="AA2" s="12"/>
    </row>
    <row r="3" spans="1:17" s="8" customFormat="1" ht="11.25" customHeight="1" hidden="1">
      <c r="A3" s="1"/>
      <c r="B3" s="1"/>
      <c r="C3" s="2"/>
      <c r="D3" s="2"/>
      <c r="E3" s="2"/>
      <c r="F3" s="13"/>
      <c r="G3" s="14"/>
      <c r="H3" s="14">
        <f>COLUMN()</f>
        <v>8</v>
      </c>
      <c r="I3" s="15">
        <f>HLOOKUP(H2,PointTableHeader,2,FALSE)</f>
        <v>9</v>
      </c>
      <c r="J3" s="14">
        <f>COLUMN()</f>
        <v>10</v>
      </c>
      <c r="K3" s="15">
        <f>HLOOKUP(J2,PointTableHeader,2,FALSE)</f>
        <v>9</v>
      </c>
      <c r="L3" s="14">
        <f>COLUMN()</f>
        <v>12</v>
      </c>
      <c r="M3" s="15">
        <f>HLOOKUP(L2,PointTableHeader,2,FALSE)</f>
        <v>8</v>
      </c>
      <c r="N3" s="14">
        <f>COLUMN()</f>
        <v>14</v>
      </c>
      <c r="O3" s="3"/>
      <c r="P3" s="3"/>
      <c r="Q3" s="15"/>
    </row>
    <row r="4" spans="1:34" ht="13.5">
      <c r="A4" s="16" t="str">
        <f>IF(E4&lt;MinimumSr,"",IF(E4=E3,A3,ROW()-3&amp;IF(E4=E5,"T","")))</f>
        <v>1</v>
      </c>
      <c r="B4" s="16" t="str">
        <f aca="true" t="shared" si="0" ref="B4:B39">TRIM(IF(D4&gt;=JuniorCutoff,"#",""))</f>
        <v>#</v>
      </c>
      <c r="C4" s="17" t="s">
        <v>92</v>
      </c>
      <c r="D4" s="36">
        <v>1983</v>
      </c>
      <c r="E4" s="19">
        <f>ROUND(F4+IF('Men''s Epée'!$A$3=1,G4,0)+LARGE($S4:$Y4,1)+LARGE($S4:$Y4,2),0)</f>
        <v>9788</v>
      </c>
      <c r="F4" s="20">
        <f>1495.92+6020.4</f>
        <v>7516.32</v>
      </c>
      <c r="G4" s="21"/>
      <c r="H4" s="21">
        <v>1</v>
      </c>
      <c r="I4" s="22">
        <f>IF(OR('Men''s Epée'!$A$3=1,'Men''s Epée'!$S$3=TRUE),IF(OR(H4&gt;=49,ISNUMBER(H4)=FALSE),0,VLOOKUP(H4,PointTable,I$3,TRUE)),0)</f>
        <v>1000</v>
      </c>
      <c r="J4" s="21">
        <v>2</v>
      </c>
      <c r="K4" s="22">
        <f>IF(OR('Men''s Epée'!$A$3=1,'Men''s Epée'!$T$3=TRUE),IF(OR(J4&gt;=49,ISNUMBER(J4)=FALSE),0,VLOOKUP(J4,PointTable,K$3,TRUE)),0)</f>
        <v>925</v>
      </c>
      <c r="L4" s="21" t="s">
        <v>5</v>
      </c>
      <c r="M4" s="22">
        <f>IF(OR('Men''s Epée'!$A$3=1,'Men''s Epée'!$U$3=TRUE),IF(OR(L4&gt;=49,ISNUMBER(L4)=FALSE),0,VLOOKUP(L4,PointTable,M$3,TRUE)),0)</f>
        <v>0</v>
      </c>
      <c r="N4" s="23">
        <v>1272</v>
      </c>
      <c r="O4" s="23"/>
      <c r="P4" s="23"/>
      <c r="Q4" s="24"/>
      <c r="S4" s="25">
        <f aca="true" t="shared" si="1" ref="S4:S19">I4</f>
        <v>1000</v>
      </c>
      <c r="T4" s="25">
        <f aca="true" t="shared" si="2" ref="T4:T19">K4</f>
        <v>925</v>
      </c>
      <c r="U4" s="25">
        <f aca="true" t="shared" si="3" ref="U4:U19">M4</f>
        <v>0</v>
      </c>
      <c r="V4" s="25">
        <f>IF(OR('Men''s Epée'!$A$3=1,N4&gt;0),ABS(N4),0)</f>
        <v>1272</v>
      </c>
      <c r="W4" s="25">
        <f>IF(OR('Men''s Epée'!$A$3=1,O4&gt;0),ABS(O4),0)</f>
        <v>0</v>
      </c>
      <c r="X4" s="25">
        <f>IF(OR('Men''s Epée'!$A$3=1,P4&gt;0),ABS(P4),0)</f>
        <v>0</v>
      </c>
      <c r="Y4" s="25">
        <f>IF(OR('Men''s Epée'!$A$3=1,Q4&gt;0),ABS(Q4),0)</f>
        <v>0</v>
      </c>
      <c r="AA4" s="12">
        <f>IF('Men''s Epée'!$S$3=TRUE,I4,0)</f>
        <v>1000</v>
      </c>
      <c r="AB4" s="12">
        <f>IF('Men''s Epée'!$T$3=TRUE,K4,0)</f>
        <v>925</v>
      </c>
      <c r="AC4" s="12">
        <f>IF('Men''s Epée'!$U$3=TRUE,M4,0)</f>
        <v>0</v>
      </c>
      <c r="AD4" s="26">
        <f>MAX(N4,0)</f>
        <v>1272</v>
      </c>
      <c r="AE4" s="26">
        <f>MAX(O4,0)</f>
        <v>0</v>
      </c>
      <c r="AF4" s="26">
        <f>MAX(P4,0)</f>
        <v>0</v>
      </c>
      <c r="AG4" s="26">
        <f>MAX(Q4,0)</f>
        <v>0</v>
      </c>
      <c r="AH4" s="12">
        <f>ROUND(LARGE(AA4:AG4,1)+LARGE(AA4:AG4,2)+F4,0)</f>
        <v>9788</v>
      </c>
    </row>
    <row r="5" spans="1:34" ht="13.5">
      <c r="A5" s="16" t="str">
        <f aca="true" t="shared" si="4" ref="A5:A47">IF(E5&lt;MinimumSr,"",IF(E5=E4,A4,ROW()-3&amp;IF(E5=E6,"T","")))</f>
        <v>2</v>
      </c>
      <c r="B5" s="16" t="str">
        <f t="shared" si="0"/>
        <v>#</v>
      </c>
      <c r="C5" s="17" t="s">
        <v>121</v>
      </c>
      <c r="D5" s="18">
        <v>1985</v>
      </c>
      <c r="E5" s="19">
        <f>ROUND(F5+IF('Men''s Epée'!$A$3=1,G5,0)+LARGE($S5:$Y5,1)+LARGE($S5:$Y5,2),0)</f>
        <v>8755</v>
      </c>
      <c r="F5" s="20">
        <f>569.1+6210.5</f>
        <v>6779.6</v>
      </c>
      <c r="G5" s="21"/>
      <c r="H5" s="21">
        <v>7</v>
      </c>
      <c r="I5" s="22">
        <f>IF(OR('Men''s Epée'!$A$3=1,'Men''s Epée'!$S$3=TRUE),IF(OR(H5&gt;=49,ISNUMBER(H5)=FALSE),0,VLOOKUP(H5,PointTable,I$3,TRUE)),0)</f>
        <v>715</v>
      </c>
      <c r="J5" s="21">
        <v>9</v>
      </c>
      <c r="K5" s="22">
        <f>IF(OR('Men''s Epée'!$A$3=1,'Men''s Epée'!$T$3=TRUE),IF(OR(J5&gt;=49,ISNUMBER(J5)=FALSE),0,VLOOKUP(J5,PointTable,K$3,TRUE)),0)</f>
        <v>620</v>
      </c>
      <c r="L5" s="21" t="s">
        <v>5</v>
      </c>
      <c r="M5" s="22">
        <f>IF(OR('Men''s Epée'!$A$3=1,'Men''s Epée'!$U$3=TRUE),IF(OR(L5&gt;=49,ISNUMBER(L5)=FALSE),0,VLOOKUP(L5,PointTable,M$3,TRUE)),0)</f>
        <v>0</v>
      </c>
      <c r="N5" s="23">
        <v>1260</v>
      </c>
      <c r="O5" s="23"/>
      <c r="P5" s="23"/>
      <c r="Q5" s="24"/>
      <c r="S5" s="25">
        <f t="shared" si="1"/>
        <v>715</v>
      </c>
      <c r="T5" s="25">
        <f t="shared" si="2"/>
        <v>620</v>
      </c>
      <c r="U5" s="25">
        <f t="shared" si="3"/>
        <v>0</v>
      </c>
      <c r="V5" s="25">
        <f>IF(OR('Men''s Epée'!$A$3=1,N5&gt;0),ABS(N5),0)</f>
        <v>1260</v>
      </c>
      <c r="W5" s="25">
        <f>IF(OR('Men''s Epée'!$A$3=1,O5&gt;0),ABS(O5),0)</f>
        <v>0</v>
      </c>
      <c r="X5" s="25">
        <f>IF(OR('Men''s Epée'!$A$3=1,P5&gt;0),ABS(P5),0)</f>
        <v>0</v>
      </c>
      <c r="Y5" s="25">
        <f>IF(OR('Men''s Epée'!$A$3=1,Q5&gt;0),ABS(Q5),0)</f>
        <v>0</v>
      </c>
      <c r="AA5" s="12">
        <f>IF('Men''s Epée'!$S$3=TRUE,I5,0)</f>
        <v>715</v>
      </c>
      <c r="AB5" s="12">
        <f>IF('Men''s Epée'!$T$3=TRUE,K5,0)</f>
        <v>620</v>
      </c>
      <c r="AC5" s="12">
        <f>IF('Men''s Epée'!$U$3=TRUE,M5,0)</f>
        <v>0</v>
      </c>
      <c r="AD5" s="26">
        <f aca="true" t="shared" si="5" ref="AD5:AG19">MAX(N5,0)</f>
        <v>1260</v>
      </c>
      <c r="AE5" s="26">
        <f t="shared" si="5"/>
        <v>0</v>
      </c>
      <c r="AF5" s="26">
        <f t="shared" si="5"/>
        <v>0</v>
      </c>
      <c r="AG5" s="26">
        <f t="shared" si="5"/>
        <v>0</v>
      </c>
      <c r="AH5" s="12">
        <f aca="true" t="shared" si="6" ref="AH5:AH47">ROUND(LARGE(AA5:AG5,1)+LARGE(AA5:AG5,2)+F5,0)</f>
        <v>8755</v>
      </c>
    </row>
    <row r="6" spans="1:34" ht="13.5">
      <c r="A6" s="16" t="str">
        <f t="shared" si="4"/>
        <v>3</v>
      </c>
      <c r="B6" s="16">
        <f t="shared" si="0"/>
      </c>
      <c r="C6" s="17" t="s">
        <v>85</v>
      </c>
      <c r="D6" s="18">
        <v>1963</v>
      </c>
      <c r="E6" s="19">
        <f>ROUND(F6+IF('Men''s Epée'!$A$3=1,G6,0)+LARGE($S6:$Y6,1)+LARGE($S6:$Y6,2),0)</f>
        <v>6575</v>
      </c>
      <c r="F6" s="20">
        <f>1121.94+4058.4</f>
        <v>5180.34</v>
      </c>
      <c r="G6" s="21"/>
      <c r="H6" s="21">
        <v>8</v>
      </c>
      <c r="I6" s="22">
        <f>IF(OR('Men''s Epée'!$A$3=1,'Men''s Epée'!$S$3=TRUE),IF(OR(H6&gt;=49,ISNUMBER(H6)=FALSE),0,VLOOKUP(H6,PointTable,I$3,TRUE)),0)</f>
        <v>695</v>
      </c>
      <c r="J6" s="21">
        <v>25</v>
      </c>
      <c r="K6" s="22">
        <f>IF(OR('Men''s Epée'!$A$3=1,'Men''s Epée'!$T$3=TRUE),IF(OR(J6&gt;=49,ISNUMBER(J6)=FALSE),0,VLOOKUP(J6,PointTable,K$3,TRUE)),0)</f>
        <v>315</v>
      </c>
      <c r="L6" s="21">
        <v>5</v>
      </c>
      <c r="M6" s="22">
        <f>IF(OR('Men''s Epée'!$A$3=1,'Men''s Epée'!$U$3=TRUE),IF(OR(L6&gt;=49,ISNUMBER(L6)=FALSE),0,VLOOKUP(L6,PointTable,M$3,TRUE)),0)</f>
        <v>700</v>
      </c>
      <c r="N6" s="23"/>
      <c r="O6" s="23"/>
      <c r="P6" s="23"/>
      <c r="Q6" s="24"/>
      <c r="S6" s="25">
        <f t="shared" si="1"/>
        <v>695</v>
      </c>
      <c r="T6" s="25">
        <f t="shared" si="2"/>
        <v>315</v>
      </c>
      <c r="U6" s="25">
        <f t="shared" si="3"/>
        <v>700</v>
      </c>
      <c r="V6" s="25">
        <f>IF(OR('Men''s Epée'!$A$3=1,N6&gt;0),ABS(N6),0)</f>
        <v>0</v>
      </c>
      <c r="W6" s="25">
        <f>IF(OR('Men''s Epée'!$A$3=1,O6&gt;0),ABS(O6),0)</f>
        <v>0</v>
      </c>
      <c r="X6" s="25">
        <f>IF(OR('Men''s Epée'!$A$3=1,P6&gt;0),ABS(P6),0)</f>
        <v>0</v>
      </c>
      <c r="Y6" s="25">
        <f>IF(OR('Men''s Epée'!$A$3=1,Q6&gt;0),ABS(Q6),0)</f>
        <v>0</v>
      </c>
      <c r="AA6" s="12">
        <f>IF('Men''s Epée'!$S$3=TRUE,I6,0)</f>
        <v>695</v>
      </c>
      <c r="AB6" s="12">
        <f>IF('Men''s Epée'!$T$3=TRUE,K6,0)</f>
        <v>315</v>
      </c>
      <c r="AC6" s="12">
        <f>IF('Men''s Epée'!$U$3=TRUE,M6,0)</f>
        <v>700</v>
      </c>
      <c r="AD6" s="26">
        <f t="shared" si="5"/>
        <v>0</v>
      </c>
      <c r="AE6" s="26">
        <f t="shared" si="5"/>
        <v>0</v>
      </c>
      <c r="AF6" s="26">
        <f t="shared" si="5"/>
        <v>0</v>
      </c>
      <c r="AG6" s="26">
        <f t="shared" si="5"/>
        <v>0</v>
      </c>
      <c r="AH6" s="12">
        <f t="shared" si="6"/>
        <v>6575</v>
      </c>
    </row>
    <row r="7" spans="1:34" ht="13.5">
      <c r="A7" s="16" t="str">
        <f t="shared" si="4"/>
        <v>4</v>
      </c>
      <c r="B7" s="16" t="str">
        <f t="shared" si="0"/>
        <v>#</v>
      </c>
      <c r="C7" s="17" t="s">
        <v>84</v>
      </c>
      <c r="D7" s="18">
        <v>1985</v>
      </c>
      <c r="E7" s="19">
        <f>ROUND(F7+IF('Men''s Epée'!$A$3=1,G7,0)+LARGE($S7:$Y7,1)+LARGE($S7:$Y7,2),0)</f>
        <v>6086</v>
      </c>
      <c r="F7" s="20">
        <f>853.65+3797.3</f>
        <v>4650.95</v>
      </c>
      <c r="G7" s="21"/>
      <c r="H7" s="21">
        <v>2</v>
      </c>
      <c r="I7" s="22">
        <f>IF(OR('Men''s Epée'!$A$3=1,'Men''s Epée'!$S$3=TRUE),IF(OR(H7&gt;=49,ISNUMBER(H7)=FALSE),0,VLOOKUP(H7,PointTable,I$3,TRUE)),0)</f>
        <v>925</v>
      </c>
      <c r="J7" s="21">
        <v>14</v>
      </c>
      <c r="K7" s="22">
        <f>IF(OR('Men''s Epée'!$A$3=1,'Men''s Epée'!$T$3=TRUE),IF(OR(J7&gt;=49,ISNUMBER(J7)=FALSE),0,VLOOKUP(J7,PointTable,K$3,TRUE)),0)</f>
        <v>510</v>
      </c>
      <c r="L7" s="21" t="s">
        <v>5</v>
      </c>
      <c r="M7" s="22">
        <f>IF(OR('Men''s Epée'!$A$3=1,'Men''s Epée'!$U$3=TRUE),IF(OR(L7&gt;=49,ISNUMBER(L7)=FALSE),0,VLOOKUP(L7,PointTable,M$3,TRUE)),0)</f>
        <v>0</v>
      </c>
      <c r="N7" s="23">
        <v>208</v>
      </c>
      <c r="O7" s="23"/>
      <c r="P7" s="23"/>
      <c r="Q7" s="24"/>
      <c r="S7" s="25">
        <f t="shared" si="1"/>
        <v>925</v>
      </c>
      <c r="T7" s="25">
        <f t="shared" si="2"/>
        <v>510</v>
      </c>
      <c r="U7" s="25">
        <f t="shared" si="3"/>
        <v>0</v>
      </c>
      <c r="V7" s="25">
        <f>IF(OR('Men''s Epée'!$A$3=1,N7&gt;0),ABS(N7),0)</f>
        <v>208</v>
      </c>
      <c r="W7" s="25">
        <f>IF(OR('Men''s Epée'!$A$3=1,O7&gt;0),ABS(O7),0)</f>
        <v>0</v>
      </c>
      <c r="X7" s="25">
        <f>IF(OR('Men''s Epée'!$A$3=1,P7&gt;0),ABS(P7),0)</f>
        <v>0</v>
      </c>
      <c r="Y7" s="25">
        <f>IF(OR('Men''s Epée'!$A$3=1,Q7&gt;0),ABS(Q7),0)</f>
        <v>0</v>
      </c>
      <c r="AA7" s="12">
        <f>IF('Men''s Epée'!$S$3=TRUE,I7,0)</f>
        <v>925</v>
      </c>
      <c r="AB7" s="12">
        <f>IF('Men''s Epée'!$T$3=TRUE,K7,0)</f>
        <v>510</v>
      </c>
      <c r="AC7" s="12">
        <f>IF('Men''s Epée'!$U$3=TRUE,M7,0)</f>
        <v>0</v>
      </c>
      <c r="AD7" s="26">
        <f t="shared" si="5"/>
        <v>208</v>
      </c>
      <c r="AE7" s="26">
        <f t="shared" si="5"/>
        <v>0</v>
      </c>
      <c r="AF7" s="26">
        <f t="shared" si="5"/>
        <v>0</v>
      </c>
      <c r="AG7" s="26">
        <f t="shared" si="5"/>
        <v>0</v>
      </c>
      <c r="AH7" s="12">
        <f t="shared" si="6"/>
        <v>6086</v>
      </c>
    </row>
    <row r="8" spans="1:34" ht="13.5">
      <c r="A8" s="16" t="str">
        <f t="shared" si="4"/>
        <v>5</v>
      </c>
      <c r="B8" s="16" t="str">
        <f t="shared" si="0"/>
        <v>#</v>
      </c>
      <c r="C8" s="17" t="s">
        <v>91</v>
      </c>
      <c r="D8" s="18">
        <v>1984</v>
      </c>
      <c r="E8" s="19">
        <f>ROUND(F8+IF('Men''s Epée'!$A$3=1,G8,0)+LARGE($S8:$Y8,1)+LARGE($S8:$Y8,2),0)</f>
        <v>5073</v>
      </c>
      <c r="F8" s="20">
        <f>1113.81+2323.85</f>
        <v>3437.66</v>
      </c>
      <c r="G8" s="21"/>
      <c r="H8" s="21">
        <v>10</v>
      </c>
      <c r="I8" s="22">
        <f>IF(OR('Men''s Epée'!$A$3=1,'Men''s Epée'!$S$3=TRUE),IF(OR(H8&gt;=49,ISNUMBER(H8)=FALSE),0,VLOOKUP(H8,PointTable,I$3,TRUE)),0)</f>
        <v>605</v>
      </c>
      <c r="J8" s="21">
        <v>7</v>
      </c>
      <c r="K8" s="22">
        <f>IF(OR('Men''s Epée'!$A$3=1,'Men''s Epée'!$T$3=TRUE),IF(OR(J8&gt;=49,ISNUMBER(J8)=FALSE),0,VLOOKUP(J8,PointTable,K$3,TRUE)),0)</f>
        <v>715</v>
      </c>
      <c r="L8" s="21">
        <v>2</v>
      </c>
      <c r="M8" s="22">
        <f>IF(OR('Men''s Epée'!$A$3=1,'Men''s Epée'!$U$3=TRUE),IF(OR(L8&gt;=49,ISNUMBER(L8)=FALSE),0,VLOOKUP(L8,PointTable,M$3,TRUE)),0)</f>
        <v>920</v>
      </c>
      <c r="N8" s="23"/>
      <c r="O8" s="23"/>
      <c r="P8" s="23"/>
      <c r="Q8" s="24"/>
      <c r="S8" s="25">
        <f t="shared" si="1"/>
        <v>605</v>
      </c>
      <c r="T8" s="25">
        <f t="shared" si="2"/>
        <v>715</v>
      </c>
      <c r="U8" s="25">
        <f t="shared" si="3"/>
        <v>920</v>
      </c>
      <c r="V8" s="25">
        <f>IF(OR('Men''s Epée'!$A$3=1,N8&gt;0),ABS(N8),0)</f>
        <v>0</v>
      </c>
      <c r="W8" s="25">
        <f>IF(OR('Men''s Epée'!$A$3=1,O8&gt;0),ABS(O8),0)</f>
        <v>0</v>
      </c>
      <c r="X8" s="25">
        <f>IF(OR('Men''s Epée'!$A$3=1,P8&gt;0),ABS(P8),0)</f>
        <v>0</v>
      </c>
      <c r="Y8" s="25">
        <f>IF(OR('Men''s Epée'!$A$3=1,Q8&gt;0),ABS(Q8),0)</f>
        <v>0</v>
      </c>
      <c r="AA8" s="12">
        <f>IF('Men''s Epée'!$S$3=TRUE,I8,0)</f>
        <v>605</v>
      </c>
      <c r="AB8" s="12">
        <f>IF('Men''s Epée'!$T$3=TRUE,K8,0)</f>
        <v>715</v>
      </c>
      <c r="AC8" s="12">
        <f>IF('Men''s Epée'!$U$3=TRUE,M8,0)</f>
        <v>920</v>
      </c>
      <c r="AD8" s="26">
        <f t="shared" si="5"/>
        <v>0</v>
      </c>
      <c r="AE8" s="26">
        <f t="shared" si="5"/>
        <v>0</v>
      </c>
      <c r="AF8" s="26">
        <f t="shared" si="5"/>
        <v>0</v>
      </c>
      <c r="AG8" s="26">
        <f t="shared" si="5"/>
        <v>0</v>
      </c>
      <c r="AH8" s="12">
        <f t="shared" si="6"/>
        <v>5073</v>
      </c>
    </row>
    <row r="9" spans="1:34" ht="13.5">
      <c r="A9" s="16" t="str">
        <f t="shared" si="4"/>
        <v>6</v>
      </c>
      <c r="B9" s="16">
        <f t="shared" si="0"/>
      </c>
      <c r="C9" s="17" t="s">
        <v>63</v>
      </c>
      <c r="D9" s="18">
        <v>1978</v>
      </c>
      <c r="E9" s="19">
        <f>ROUND(F9+IF('Men''s Epée'!$A$3=1,G9,0)+LARGE($S9:$Y9,1)+LARGE($S9:$Y9,2),0)</f>
        <v>4696</v>
      </c>
      <c r="F9" s="20">
        <f>560.97+2909.95</f>
        <v>3470.92</v>
      </c>
      <c r="G9" s="21"/>
      <c r="H9" s="21" t="s">
        <v>5</v>
      </c>
      <c r="I9" s="22">
        <f>IF(OR('Men''s Epée'!$A$3=1,'Men''s Epée'!$S$3=TRUE),IF(OR(H9&gt;=49,ISNUMBER(H9)=FALSE),0,VLOOKUP(H9,PointTable,I$3,TRUE)),0)</f>
        <v>0</v>
      </c>
      <c r="J9" s="21">
        <v>8</v>
      </c>
      <c r="K9" s="22">
        <f>IF(OR('Men''s Epée'!$A$3=1,'Men''s Epée'!$T$3=TRUE),IF(OR(J9&gt;=49,ISNUMBER(J9)=FALSE),0,VLOOKUP(J9,PointTable,K$3,TRUE)),0)</f>
        <v>695</v>
      </c>
      <c r="L9" s="21">
        <v>10</v>
      </c>
      <c r="M9" s="22">
        <f>IF(OR('Men''s Epée'!$A$3=1,'Men''s Epée'!$U$3=TRUE),IF(OR(L9&gt;=49,ISNUMBER(L9)=FALSE),0,VLOOKUP(L9,PointTable,M$3,TRUE)),0)</f>
        <v>530</v>
      </c>
      <c r="N9" s="23">
        <v>91.2</v>
      </c>
      <c r="O9" s="23">
        <v>67.2</v>
      </c>
      <c r="P9" s="23"/>
      <c r="Q9" s="24"/>
      <c r="S9" s="25">
        <f t="shared" si="1"/>
        <v>0</v>
      </c>
      <c r="T9" s="25">
        <f t="shared" si="2"/>
        <v>695</v>
      </c>
      <c r="U9" s="25">
        <f t="shared" si="3"/>
        <v>530</v>
      </c>
      <c r="V9" s="25">
        <f>IF(OR('Men''s Epée'!$A$3=1,N9&gt;0),ABS(N9),0)</f>
        <v>91.2</v>
      </c>
      <c r="W9" s="25">
        <f>IF(OR('Men''s Epée'!$A$3=1,O9&gt;0),ABS(O9),0)</f>
        <v>67.2</v>
      </c>
      <c r="X9" s="25">
        <f>IF(OR('Men''s Epée'!$A$3=1,P9&gt;0),ABS(P9),0)</f>
        <v>0</v>
      </c>
      <c r="Y9" s="25">
        <f>IF(OR('Men''s Epée'!$A$3=1,Q9&gt;0),ABS(Q9),0)</f>
        <v>0</v>
      </c>
      <c r="AA9" s="12">
        <f>IF('Men''s Epée'!$S$3=TRUE,I9,0)</f>
        <v>0</v>
      </c>
      <c r="AB9" s="12">
        <f>IF('Men''s Epée'!$T$3=TRUE,K9,0)</f>
        <v>695</v>
      </c>
      <c r="AC9" s="12">
        <f>IF('Men''s Epée'!$U$3=TRUE,M9,0)</f>
        <v>530</v>
      </c>
      <c r="AD9" s="26">
        <f t="shared" si="5"/>
        <v>91.2</v>
      </c>
      <c r="AE9" s="26">
        <f t="shared" si="5"/>
        <v>67.2</v>
      </c>
      <c r="AF9" s="26">
        <f t="shared" si="5"/>
        <v>0</v>
      </c>
      <c r="AG9" s="26">
        <f t="shared" si="5"/>
        <v>0</v>
      </c>
      <c r="AH9" s="12">
        <f t="shared" si="6"/>
        <v>4696</v>
      </c>
    </row>
    <row r="10" spans="1:34" ht="13.5">
      <c r="A10" s="16" t="str">
        <f t="shared" si="4"/>
        <v>7</v>
      </c>
      <c r="B10" s="16">
        <f t="shared" si="0"/>
      </c>
      <c r="C10" s="17" t="s">
        <v>118</v>
      </c>
      <c r="D10" s="18">
        <v>1978</v>
      </c>
      <c r="E10" s="19">
        <f>ROUND(F10+IF('Men''s Epée'!$A$3=1,G10,0)+LARGE($S10:$Y10,1)+LARGE($S10:$Y10,2),0)</f>
        <v>3512</v>
      </c>
      <c r="F10" s="20">
        <f>829.26+1478.1</f>
        <v>2307.3599999999997</v>
      </c>
      <c r="G10" s="21"/>
      <c r="H10" s="21">
        <v>14</v>
      </c>
      <c r="I10" s="22">
        <f>IF(OR('Men''s Epée'!$A$3=1,'Men''s Epée'!$S$3=TRUE),IF(OR(H10&gt;=49,ISNUMBER(H10)=FALSE),0,VLOOKUP(H10,PointTable,I$3,TRUE)),0)</f>
        <v>510</v>
      </c>
      <c r="J10" s="21">
        <v>15</v>
      </c>
      <c r="K10" s="22">
        <f>IF(OR('Men''s Epée'!$A$3=1,'Men''s Epée'!$T$3=TRUE),IF(OR(J10&gt;=49,ISNUMBER(J10)=FALSE),0,VLOOKUP(J10,PointTable,K$3,TRUE)),0)</f>
        <v>495</v>
      </c>
      <c r="L10" s="21">
        <v>6</v>
      </c>
      <c r="M10" s="22">
        <f>IF(OR('Men''s Epée'!$A$3=1,'Men''s Epée'!$U$3=TRUE),IF(OR(L10&gt;=49,ISNUMBER(L10)=FALSE),0,VLOOKUP(L10,PointTable,M$3,TRUE)),0)</f>
        <v>695</v>
      </c>
      <c r="N10" s="23"/>
      <c r="O10" s="23"/>
      <c r="P10" s="23"/>
      <c r="Q10" s="24"/>
      <c r="S10" s="25">
        <f t="shared" si="1"/>
        <v>510</v>
      </c>
      <c r="T10" s="25">
        <f t="shared" si="2"/>
        <v>495</v>
      </c>
      <c r="U10" s="25">
        <f t="shared" si="3"/>
        <v>695</v>
      </c>
      <c r="V10" s="25">
        <f>IF(OR('Men''s Epée'!$A$3=1,N10&gt;0),ABS(N10),0)</f>
        <v>0</v>
      </c>
      <c r="W10" s="25">
        <f>IF(OR('Men''s Epée'!$A$3=1,O10&gt;0),ABS(O10),0)</f>
        <v>0</v>
      </c>
      <c r="X10" s="25">
        <f>IF(OR('Men''s Epée'!$A$3=1,P10&gt;0),ABS(P10),0)</f>
        <v>0</v>
      </c>
      <c r="Y10" s="25">
        <f>IF(OR('Men''s Epée'!$A$3=1,Q10&gt;0),ABS(Q10),0)</f>
        <v>0</v>
      </c>
      <c r="AA10" s="12">
        <f>IF('Men''s Epée'!$S$3=TRUE,I10,0)</f>
        <v>510</v>
      </c>
      <c r="AB10" s="12">
        <f>IF('Men''s Epée'!$T$3=TRUE,K10,0)</f>
        <v>495</v>
      </c>
      <c r="AC10" s="12">
        <f>IF('Men''s Epée'!$U$3=TRUE,M10,0)</f>
        <v>695</v>
      </c>
      <c r="AD10" s="26">
        <f t="shared" si="5"/>
        <v>0</v>
      </c>
      <c r="AE10" s="26">
        <f t="shared" si="5"/>
        <v>0</v>
      </c>
      <c r="AF10" s="26">
        <f t="shared" si="5"/>
        <v>0</v>
      </c>
      <c r="AG10" s="26">
        <f t="shared" si="5"/>
        <v>0</v>
      </c>
      <c r="AH10" s="12">
        <f t="shared" si="6"/>
        <v>3512</v>
      </c>
    </row>
    <row r="11" spans="1:34" ht="13.5">
      <c r="A11" s="16" t="str">
        <f t="shared" si="4"/>
        <v>8</v>
      </c>
      <c r="B11" s="16">
        <f t="shared" si="0"/>
      </c>
      <c r="C11" s="17" t="s">
        <v>93</v>
      </c>
      <c r="D11" s="18">
        <v>1982</v>
      </c>
      <c r="E11" s="19">
        <f>ROUND(F11+IF('Men''s Epée'!$A$3=1,G11,0)+LARGE($S11:$Y11,1)+LARGE($S11:$Y11,2),0)</f>
        <v>2530</v>
      </c>
      <c r="F11" s="20">
        <f>452.57+867.35</f>
        <v>1319.92</v>
      </c>
      <c r="G11" s="21"/>
      <c r="H11" s="21">
        <v>9</v>
      </c>
      <c r="I11" s="22">
        <f>IF(OR('Men''s Epée'!$A$3=1,'Men''s Epée'!$S$3=TRUE),IF(OR(H11&gt;=49,ISNUMBER(H11)=FALSE),0,VLOOKUP(H11,PointTable,I$3,TRUE)),0)</f>
        <v>620</v>
      </c>
      <c r="J11" s="21">
        <v>11</v>
      </c>
      <c r="K11" s="22">
        <f>IF(OR('Men''s Epée'!$A$3=1,'Men''s Epée'!$T$3=TRUE),IF(OR(J11&gt;=49,ISNUMBER(J11)=FALSE),0,VLOOKUP(J11,PointTable,K$3,TRUE)),0)</f>
        <v>590</v>
      </c>
      <c r="L11" s="21" t="s">
        <v>5</v>
      </c>
      <c r="M11" s="22">
        <f>IF(OR('Men''s Epée'!$A$3=1,'Men''s Epée'!$U$3=TRUE),IF(OR(L11&gt;=49,ISNUMBER(L11)=FALSE),0,VLOOKUP(L11,PointTable,M$3,TRUE)),0)</f>
        <v>0</v>
      </c>
      <c r="N11" s="23"/>
      <c r="O11" s="23"/>
      <c r="P11" s="23"/>
      <c r="Q11" s="24"/>
      <c r="S11" s="25">
        <f t="shared" si="1"/>
        <v>620</v>
      </c>
      <c r="T11" s="25">
        <f t="shared" si="2"/>
        <v>590</v>
      </c>
      <c r="U11" s="25">
        <f t="shared" si="3"/>
        <v>0</v>
      </c>
      <c r="V11" s="25">
        <f>IF(OR('Men''s Epée'!$A$3=1,N11&gt;0),ABS(N11),0)</f>
        <v>0</v>
      </c>
      <c r="W11" s="25">
        <f>IF(OR('Men''s Epée'!$A$3=1,O11&gt;0),ABS(O11),0)</f>
        <v>0</v>
      </c>
      <c r="X11" s="25">
        <f>IF(OR('Men''s Epée'!$A$3=1,P11&gt;0),ABS(P11),0)</f>
        <v>0</v>
      </c>
      <c r="Y11" s="25">
        <f>IF(OR('Men''s Epée'!$A$3=1,Q11&gt;0),ABS(Q11),0)</f>
        <v>0</v>
      </c>
      <c r="AA11" s="12">
        <f>IF('Men''s Epée'!$S$3=TRUE,I11,0)</f>
        <v>620</v>
      </c>
      <c r="AB11" s="12">
        <f>IF('Men''s Epée'!$T$3=TRUE,K11,0)</f>
        <v>590</v>
      </c>
      <c r="AC11" s="12">
        <f>IF('Men''s Epée'!$U$3=TRUE,M11,0)</f>
        <v>0</v>
      </c>
      <c r="AD11" s="26">
        <f t="shared" si="5"/>
        <v>0</v>
      </c>
      <c r="AE11" s="26">
        <f t="shared" si="5"/>
        <v>0</v>
      </c>
      <c r="AF11" s="26">
        <f t="shared" si="5"/>
        <v>0</v>
      </c>
      <c r="AG11" s="26">
        <f t="shared" si="5"/>
        <v>0</v>
      </c>
      <c r="AH11" s="12">
        <f t="shared" si="6"/>
        <v>2530</v>
      </c>
    </row>
    <row r="12" spans="1:34" ht="13.5">
      <c r="A12" s="16" t="str">
        <f t="shared" si="4"/>
        <v>9</v>
      </c>
      <c r="B12" s="16" t="str">
        <f t="shared" si="0"/>
        <v>#</v>
      </c>
      <c r="C12" s="17" t="s">
        <v>120</v>
      </c>
      <c r="D12" s="18">
        <v>1985</v>
      </c>
      <c r="E12" s="19">
        <f>ROUND(F12+IF('Men''s Epée'!$A$3=1,G12,0)+LARGE($S12:$Y12,1)+LARGE($S12:$Y12,2),0)</f>
        <v>2137</v>
      </c>
      <c r="F12" s="20">
        <v>447.15</v>
      </c>
      <c r="G12" s="21"/>
      <c r="H12" s="21">
        <v>3</v>
      </c>
      <c r="I12" s="22">
        <f>IF(OR('Men''s Epée'!$A$3=1,'Men''s Epée'!$S$3=TRUE),IF(OR(H12&gt;=49,ISNUMBER(H12)=FALSE),0,VLOOKUP(H12,PointTable,I$3,TRUE)),0)</f>
        <v>840</v>
      </c>
      <c r="J12" s="21">
        <v>32</v>
      </c>
      <c r="K12" s="22">
        <f>IF(OR('Men''s Epée'!$A$3=1,'Men''s Epée'!$T$3=TRUE),IF(OR(J12&gt;=49,ISNUMBER(J12)=FALSE),0,VLOOKUP(J12,PointTable,K$3,TRUE)),0)</f>
        <v>280</v>
      </c>
      <c r="L12" s="21">
        <v>3</v>
      </c>
      <c r="M12" s="22">
        <f>IF(OR('Men''s Epée'!$A$3=1,'Men''s Epée'!$U$3=TRUE),IF(OR(L12&gt;=49,ISNUMBER(L12)=FALSE),0,VLOOKUP(L12,PointTable,M$3,TRUE)),0)</f>
        <v>850</v>
      </c>
      <c r="N12" s="23"/>
      <c r="O12" s="23"/>
      <c r="P12" s="23"/>
      <c r="Q12" s="24"/>
      <c r="S12" s="25">
        <f t="shared" si="1"/>
        <v>840</v>
      </c>
      <c r="T12" s="25">
        <f t="shared" si="2"/>
        <v>280</v>
      </c>
      <c r="U12" s="25">
        <f t="shared" si="3"/>
        <v>850</v>
      </c>
      <c r="V12" s="25">
        <f>IF(OR('Men''s Epée'!$A$3=1,N12&gt;0),ABS(N12),0)</f>
        <v>0</v>
      </c>
      <c r="W12" s="25">
        <f>IF(OR('Men''s Epée'!$A$3=1,O12&gt;0),ABS(O12),0)</f>
        <v>0</v>
      </c>
      <c r="X12" s="25">
        <f>IF(OR('Men''s Epée'!$A$3=1,P12&gt;0),ABS(P12),0)</f>
        <v>0</v>
      </c>
      <c r="Y12" s="25">
        <f>IF(OR('Men''s Epée'!$A$3=1,Q12&gt;0),ABS(Q12),0)</f>
        <v>0</v>
      </c>
      <c r="AA12" s="12">
        <f>IF('Men''s Epée'!$S$3=TRUE,I12,0)</f>
        <v>840</v>
      </c>
      <c r="AB12" s="12">
        <f>IF('Men''s Epée'!$T$3=TRUE,K12,0)</f>
        <v>280</v>
      </c>
      <c r="AC12" s="12">
        <f>IF('Men''s Epée'!$U$3=TRUE,M12,0)</f>
        <v>850</v>
      </c>
      <c r="AD12" s="26">
        <f t="shared" si="5"/>
        <v>0</v>
      </c>
      <c r="AE12" s="26">
        <f t="shared" si="5"/>
        <v>0</v>
      </c>
      <c r="AF12" s="26">
        <f t="shared" si="5"/>
        <v>0</v>
      </c>
      <c r="AG12" s="26">
        <f t="shared" si="5"/>
        <v>0</v>
      </c>
      <c r="AH12" s="12">
        <f t="shared" si="6"/>
        <v>2137</v>
      </c>
    </row>
    <row r="13" spans="1:34" ht="13.5">
      <c r="A13" s="16" t="str">
        <f t="shared" si="4"/>
        <v>10</v>
      </c>
      <c r="B13" s="16" t="str">
        <f t="shared" si="0"/>
        <v>#</v>
      </c>
      <c r="C13" s="17" t="s">
        <v>291</v>
      </c>
      <c r="D13" s="18">
        <v>1986</v>
      </c>
      <c r="E13" s="19">
        <f>ROUND(F13+IF('Men''s Epée'!$A$3=1,G13,0)+LARGE($S13:$Y13,1)+LARGE($S13:$Y13,2),0)</f>
        <v>2062</v>
      </c>
      <c r="F13" s="20">
        <f>544.71+667.55</f>
        <v>1212.26</v>
      </c>
      <c r="G13" s="21"/>
      <c r="H13" s="21">
        <v>11</v>
      </c>
      <c r="I13" s="22">
        <f>IF(OR('Men''s Epée'!$A$3=1,'Men''s Epée'!$S$3=TRUE),IF(OR(H13&gt;=49,ISNUMBER(H13)=FALSE),0,VLOOKUP(H13,PointTable,I$3,TRUE)),0)</f>
        <v>590</v>
      </c>
      <c r="J13" s="21">
        <v>36</v>
      </c>
      <c r="K13" s="22">
        <f>IF(OR('Men''s Epée'!$A$3=1,'Men''s Epée'!$T$3=TRUE),IF(OR(J13&gt;=49,ISNUMBER(J13)=FALSE),0,VLOOKUP(J13,PointTable,K$3,TRUE)),0)</f>
        <v>260</v>
      </c>
      <c r="L13" s="21" t="s">
        <v>5</v>
      </c>
      <c r="M13" s="22">
        <f>IF(OR('Men''s Epée'!$A$3=1,'Men''s Epée'!$U$3=TRUE),IF(OR(L13&gt;=49,ISNUMBER(L13)=FALSE),0,VLOOKUP(L13,PointTable,M$3,TRUE)),0)</f>
        <v>0</v>
      </c>
      <c r="N13" s="23"/>
      <c r="O13" s="23"/>
      <c r="P13" s="23"/>
      <c r="Q13" s="24"/>
      <c r="S13" s="25">
        <f t="shared" si="1"/>
        <v>590</v>
      </c>
      <c r="T13" s="25">
        <f t="shared" si="2"/>
        <v>260</v>
      </c>
      <c r="U13" s="25">
        <f t="shared" si="3"/>
        <v>0</v>
      </c>
      <c r="V13" s="25">
        <f>IF(OR('Men''s Epée'!$A$3=1,N13&gt;0),ABS(N13),0)</f>
        <v>0</v>
      </c>
      <c r="W13" s="25">
        <f>IF(OR('Men''s Epée'!$A$3=1,O13&gt;0),ABS(O13),0)</f>
        <v>0</v>
      </c>
      <c r="X13" s="25">
        <f>IF(OR('Men''s Epée'!$A$3=1,P13&gt;0),ABS(P13),0)</f>
        <v>0</v>
      </c>
      <c r="Y13" s="25">
        <f>IF(OR('Men''s Epée'!$A$3=1,Q13&gt;0),ABS(Q13),0)</f>
        <v>0</v>
      </c>
      <c r="AA13" s="12">
        <f>IF('Men''s Epée'!$S$3=TRUE,I13,0)</f>
        <v>590</v>
      </c>
      <c r="AB13" s="12">
        <f>IF('Men''s Epée'!$T$3=TRUE,K13,0)</f>
        <v>260</v>
      </c>
      <c r="AC13" s="12">
        <f>IF('Men''s Epée'!$U$3=TRUE,M13,0)</f>
        <v>0</v>
      </c>
      <c r="AD13" s="26">
        <f t="shared" si="5"/>
        <v>0</v>
      </c>
      <c r="AE13" s="26">
        <f t="shared" si="5"/>
        <v>0</v>
      </c>
      <c r="AF13" s="26">
        <f t="shared" si="5"/>
        <v>0</v>
      </c>
      <c r="AG13" s="26">
        <f t="shared" si="5"/>
        <v>0</v>
      </c>
      <c r="AH13" s="12">
        <f t="shared" si="6"/>
        <v>2062</v>
      </c>
    </row>
    <row r="14" spans="1:34" ht="13.5">
      <c r="A14" s="16" t="str">
        <f t="shared" si="4"/>
        <v>11</v>
      </c>
      <c r="B14" s="16">
        <f t="shared" si="0"/>
      </c>
      <c r="C14" s="17" t="s">
        <v>86</v>
      </c>
      <c r="D14" s="18">
        <v>1969</v>
      </c>
      <c r="E14" s="19">
        <f>ROUND(F14+IF('Men''s Epée'!$A$3=1,G14,0)+LARGE($S14:$Y14,1)+LARGE($S14:$Y14,2),0)</f>
        <v>2031</v>
      </c>
      <c r="F14" s="20">
        <v>691.25</v>
      </c>
      <c r="G14" s="21"/>
      <c r="H14" s="21">
        <v>6</v>
      </c>
      <c r="I14" s="22">
        <f>IF(OR('Men''s Epée'!$A$3=1,'Men''s Epée'!$S$3=TRUE),IF(OR(H14&gt;=49,ISNUMBER(H14)=FALSE),0,VLOOKUP(H14,PointTable,I$3,TRUE)),0)</f>
        <v>735</v>
      </c>
      <c r="J14" s="21">
        <v>10</v>
      </c>
      <c r="K14" s="22">
        <f>IF(OR('Men''s Epée'!$A$3=1,'Men''s Epée'!$T$3=TRUE),IF(OR(J14&gt;=49,ISNUMBER(J14)=FALSE),0,VLOOKUP(J14,PointTable,K$3,TRUE)),0)</f>
        <v>605</v>
      </c>
      <c r="L14" s="21">
        <v>12</v>
      </c>
      <c r="M14" s="22">
        <f>IF(OR('Men''s Epée'!$A$3=1,'Men''s Epée'!$U$3=TRUE),IF(OR(L14&gt;=49,ISNUMBER(L14)=FALSE),0,VLOOKUP(L14,PointTable,M$3,TRUE)),0)</f>
        <v>520</v>
      </c>
      <c r="N14" s="23"/>
      <c r="O14" s="23"/>
      <c r="P14" s="23"/>
      <c r="Q14" s="24"/>
      <c r="S14" s="25">
        <f t="shared" si="1"/>
        <v>735</v>
      </c>
      <c r="T14" s="25">
        <f t="shared" si="2"/>
        <v>605</v>
      </c>
      <c r="U14" s="25">
        <f t="shared" si="3"/>
        <v>520</v>
      </c>
      <c r="V14" s="25">
        <f>IF(OR('Men''s Epée'!$A$3=1,N14&gt;0),ABS(N14),0)</f>
        <v>0</v>
      </c>
      <c r="W14" s="25">
        <f>IF(OR('Men''s Epée'!$A$3=1,O14&gt;0),ABS(O14),0)</f>
        <v>0</v>
      </c>
      <c r="X14" s="25">
        <f>IF(OR('Men''s Epée'!$A$3=1,P14&gt;0),ABS(P14),0)</f>
        <v>0</v>
      </c>
      <c r="Y14" s="25">
        <f>IF(OR('Men''s Epée'!$A$3=1,Q14&gt;0),ABS(Q14),0)</f>
        <v>0</v>
      </c>
      <c r="AA14" s="12">
        <f>IF('Men''s Epée'!$S$3=TRUE,I14,0)</f>
        <v>735</v>
      </c>
      <c r="AB14" s="12">
        <f>IF('Men''s Epée'!$T$3=TRUE,K14,0)</f>
        <v>605</v>
      </c>
      <c r="AC14" s="12">
        <f>IF('Men''s Epée'!$U$3=TRUE,M14,0)</f>
        <v>520</v>
      </c>
      <c r="AD14" s="26">
        <f t="shared" si="5"/>
        <v>0</v>
      </c>
      <c r="AE14" s="26">
        <f t="shared" si="5"/>
        <v>0</v>
      </c>
      <c r="AF14" s="26">
        <f t="shared" si="5"/>
        <v>0</v>
      </c>
      <c r="AG14" s="26">
        <f t="shared" si="5"/>
        <v>0</v>
      </c>
      <c r="AH14" s="12">
        <f t="shared" si="6"/>
        <v>2031</v>
      </c>
    </row>
    <row r="15" spans="1:34" ht="13.5">
      <c r="A15" s="16" t="str">
        <f t="shared" si="4"/>
        <v>12</v>
      </c>
      <c r="B15" s="16" t="str">
        <f t="shared" si="0"/>
        <v>#</v>
      </c>
      <c r="C15" s="17" t="s">
        <v>290</v>
      </c>
      <c r="D15" s="18">
        <v>1987</v>
      </c>
      <c r="E15" s="19">
        <f>ROUND(F15+IF('Men''s Epée'!$A$3=1,G15,0)+LARGE($S15:$Y15,1)+LARGE($S15:$Y15,2),0)</f>
        <v>2000</v>
      </c>
      <c r="F15" s="20"/>
      <c r="G15" s="21"/>
      <c r="H15" s="21">
        <v>5</v>
      </c>
      <c r="I15" s="22">
        <f>IF(OR('Men''s Epée'!$A$3=1,'Men''s Epée'!$S$3=TRUE),IF(OR(H15&gt;=49,ISNUMBER(H15)=FALSE),0,VLOOKUP(H15,PointTable,I$3,TRUE)),0)</f>
        <v>755</v>
      </c>
      <c r="J15" s="21">
        <v>1</v>
      </c>
      <c r="K15" s="22">
        <f>IF(OR('Men''s Epée'!$A$3=1,'Men''s Epée'!$T$3=TRUE),IF(OR(J15&gt;=49,ISNUMBER(J15)=FALSE),0,VLOOKUP(J15,PointTable,K$3,TRUE)),0)</f>
        <v>1000</v>
      </c>
      <c r="L15" s="21">
        <v>1</v>
      </c>
      <c r="M15" s="22">
        <f>IF(OR('Men''s Epée'!$A$3=1,'Men''s Epée'!$U$3=TRUE),IF(OR(L15&gt;=49,ISNUMBER(L15)=FALSE),0,VLOOKUP(L15,PointTable,M$3,TRUE)),0)</f>
        <v>1000</v>
      </c>
      <c r="N15" s="23"/>
      <c r="O15" s="23"/>
      <c r="P15" s="23"/>
      <c r="Q15" s="24"/>
      <c r="S15" s="25">
        <f t="shared" si="1"/>
        <v>755</v>
      </c>
      <c r="T15" s="25">
        <f t="shared" si="2"/>
        <v>1000</v>
      </c>
      <c r="U15" s="25">
        <f t="shared" si="3"/>
        <v>1000</v>
      </c>
      <c r="V15" s="25">
        <f>IF(OR('Men''s Epée'!$A$3=1,N15&gt;0),ABS(N15),0)</f>
        <v>0</v>
      </c>
      <c r="W15" s="25">
        <f>IF(OR('Men''s Epée'!$A$3=1,O15&gt;0),ABS(O15),0)</f>
        <v>0</v>
      </c>
      <c r="X15" s="25">
        <f>IF(OR('Men''s Epée'!$A$3=1,P15&gt;0),ABS(P15),0)</f>
        <v>0</v>
      </c>
      <c r="Y15" s="25">
        <f>IF(OR('Men''s Epée'!$A$3=1,Q15&gt;0),ABS(Q15),0)</f>
        <v>0</v>
      </c>
      <c r="AA15" s="12">
        <f>IF('Men''s Epée'!$S$3=TRUE,I15,0)</f>
        <v>755</v>
      </c>
      <c r="AB15" s="12">
        <f>IF('Men''s Epée'!$T$3=TRUE,K15,0)</f>
        <v>1000</v>
      </c>
      <c r="AC15" s="12">
        <f>IF('Men''s Epée'!$U$3=TRUE,M15,0)</f>
        <v>1000</v>
      </c>
      <c r="AD15" s="26">
        <f t="shared" si="5"/>
        <v>0</v>
      </c>
      <c r="AE15" s="26">
        <f t="shared" si="5"/>
        <v>0</v>
      </c>
      <c r="AF15" s="26">
        <f t="shared" si="5"/>
        <v>0</v>
      </c>
      <c r="AG15" s="26">
        <f t="shared" si="5"/>
        <v>0</v>
      </c>
      <c r="AH15" s="12">
        <f t="shared" si="6"/>
        <v>2000</v>
      </c>
    </row>
    <row r="16" spans="1:34" ht="13.5">
      <c r="A16" s="16" t="str">
        <f t="shared" si="4"/>
        <v>13</v>
      </c>
      <c r="B16" s="16">
        <f t="shared" si="0"/>
      </c>
      <c r="C16" s="17" t="s">
        <v>371</v>
      </c>
      <c r="D16" s="18">
        <v>1972</v>
      </c>
      <c r="E16" s="19">
        <f>ROUND(F16+IF('Men''s Epée'!$A$3=1,G16,0)+LARGE($S16:$Y16,1)+LARGE($S16:$Y16,2),0)</f>
        <v>1595</v>
      </c>
      <c r="F16" s="20"/>
      <c r="G16" s="21"/>
      <c r="H16" s="21">
        <v>3</v>
      </c>
      <c r="I16" s="22">
        <f>IF(OR('Men''s Epée'!$A$3=1,'Men''s Epée'!$S$3=TRUE),IF(OR(H16&gt;=49,ISNUMBER(H16)=FALSE),0,VLOOKUP(H16,PointTable,I$3,TRUE)),0)</f>
        <v>840</v>
      </c>
      <c r="J16" s="21">
        <v>5</v>
      </c>
      <c r="K16" s="22">
        <f>IF(OR('Men''s Epée'!$A$3=1,'Men''s Epée'!$T$3=TRUE),IF(OR(J16&gt;=49,ISNUMBER(J16)=FALSE),0,VLOOKUP(J16,PointTable,K$3,TRUE)),0)</f>
        <v>755</v>
      </c>
      <c r="L16" s="21">
        <v>9</v>
      </c>
      <c r="M16" s="22">
        <f>IF(OR('Men''s Epée'!$A$3=1,'Men''s Epée'!$U$3=TRUE),IF(OR(L16&gt;=49,ISNUMBER(L16)=FALSE),0,VLOOKUP(L16,PointTable,M$3,TRUE)),0)</f>
        <v>535</v>
      </c>
      <c r="N16" s="23"/>
      <c r="O16" s="23"/>
      <c r="P16" s="23"/>
      <c r="Q16" s="24"/>
      <c r="S16" s="25">
        <f t="shared" si="1"/>
        <v>840</v>
      </c>
      <c r="T16" s="25">
        <f t="shared" si="2"/>
        <v>755</v>
      </c>
      <c r="U16" s="25">
        <f t="shared" si="3"/>
        <v>535</v>
      </c>
      <c r="V16" s="25">
        <f>IF(OR('Men''s Epée'!$A$3=1,N16&gt;0),ABS(N16),0)</f>
        <v>0</v>
      </c>
      <c r="W16" s="25">
        <f>IF(OR('Men''s Epée'!$A$3=1,O16&gt;0),ABS(O16),0)</f>
        <v>0</v>
      </c>
      <c r="X16" s="25">
        <f>IF(OR('Men''s Epée'!$A$3=1,P16&gt;0),ABS(P16),0)</f>
        <v>0</v>
      </c>
      <c r="Y16" s="25">
        <f>IF(OR('Men''s Epée'!$A$3=1,Q16&gt;0),ABS(Q16),0)</f>
        <v>0</v>
      </c>
      <c r="AA16" s="12">
        <f>IF('Men''s Epée'!$S$3=TRUE,I16,0)</f>
        <v>840</v>
      </c>
      <c r="AB16" s="12">
        <f>IF('Men''s Epée'!$T$3=TRUE,K16,0)</f>
        <v>755</v>
      </c>
      <c r="AC16" s="12">
        <f>IF('Men''s Epée'!$U$3=TRUE,M16,0)</f>
        <v>535</v>
      </c>
      <c r="AD16" s="26">
        <f t="shared" si="5"/>
        <v>0</v>
      </c>
      <c r="AE16" s="26">
        <f t="shared" si="5"/>
        <v>0</v>
      </c>
      <c r="AF16" s="26">
        <f t="shared" si="5"/>
        <v>0</v>
      </c>
      <c r="AG16" s="26">
        <f t="shared" si="5"/>
        <v>0</v>
      </c>
      <c r="AH16" s="12">
        <f t="shared" si="6"/>
        <v>1595</v>
      </c>
    </row>
    <row r="17" spans="1:34" ht="13.5">
      <c r="A17" s="16" t="str">
        <f t="shared" si="4"/>
        <v>14</v>
      </c>
      <c r="B17" s="16">
        <f t="shared" si="0"/>
      </c>
      <c r="C17" s="17" t="s">
        <v>175</v>
      </c>
      <c r="D17" s="18">
        <v>1981</v>
      </c>
      <c r="E17" s="19">
        <f>ROUND(F17+IF('Men''s Epée'!$A$3=1,G17,0)+LARGE($S17:$Y17,1)+LARGE($S17:$Y17,2),0)</f>
        <v>1492</v>
      </c>
      <c r="F17" s="20">
        <v>512.19</v>
      </c>
      <c r="G17" s="21"/>
      <c r="H17" s="21" t="s">
        <v>5</v>
      </c>
      <c r="I17" s="22">
        <f>IF(OR('Men''s Epée'!$A$3=1,'Men''s Epée'!$S$3=TRUE),IF(OR(H17&gt;=49,ISNUMBER(H17)=FALSE),0,VLOOKUP(H17,PointTable,I$3,TRUE)),0)</f>
        <v>0</v>
      </c>
      <c r="J17" s="21">
        <v>29</v>
      </c>
      <c r="K17" s="22">
        <f>IF(OR('Men''s Epée'!$A$3=1,'Men''s Epée'!$T$3=TRUE),IF(OR(J17&gt;=49,ISNUMBER(J17)=FALSE),0,VLOOKUP(J17,PointTable,K$3,TRUE)),0)</f>
        <v>295</v>
      </c>
      <c r="L17" s="21">
        <v>8</v>
      </c>
      <c r="M17" s="22">
        <f>IF(OR('Men''s Epée'!$A$3=1,'Men''s Epée'!$U$3=TRUE),IF(OR(L17&gt;=49,ISNUMBER(L17)=FALSE),0,VLOOKUP(L17,PointTable,M$3,TRUE)),0)</f>
        <v>685</v>
      </c>
      <c r="N17" s="23"/>
      <c r="O17" s="23"/>
      <c r="P17" s="23"/>
      <c r="Q17" s="24"/>
      <c r="S17" s="25">
        <f t="shared" si="1"/>
        <v>0</v>
      </c>
      <c r="T17" s="25">
        <f t="shared" si="2"/>
        <v>295</v>
      </c>
      <c r="U17" s="25">
        <f t="shared" si="3"/>
        <v>685</v>
      </c>
      <c r="V17" s="25">
        <f>IF(OR('Men''s Epée'!$A$3=1,N17&gt;0),ABS(N17),0)</f>
        <v>0</v>
      </c>
      <c r="W17" s="25">
        <f>IF(OR('Men''s Epée'!$A$3=1,O17&gt;0),ABS(O17),0)</f>
        <v>0</v>
      </c>
      <c r="X17" s="25">
        <f>IF(OR('Men''s Epée'!$A$3=1,P17&gt;0),ABS(P17),0)</f>
        <v>0</v>
      </c>
      <c r="Y17" s="25">
        <f>IF(OR('Men''s Epée'!$A$3=1,Q17&gt;0),ABS(Q17),0)</f>
        <v>0</v>
      </c>
      <c r="AA17" s="12">
        <f>IF('Men''s Epée'!$S$3=TRUE,I17,0)</f>
        <v>0</v>
      </c>
      <c r="AB17" s="12">
        <f>IF('Men''s Epée'!$T$3=TRUE,K17,0)</f>
        <v>295</v>
      </c>
      <c r="AC17" s="12">
        <f>IF('Men''s Epée'!$U$3=TRUE,M17,0)</f>
        <v>685</v>
      </c>
      <c r="AD17" s="26">
        <f t="shared" si="5"/>
        <v>0</v>
      </c>
      <c r="AE17" s="26">
        <f t="shared" si="5"/>
        <v>0</v>
      </c>
      <c r="AF17" s="26">
        <f t="shared" si="5"/>
        <v>0</v>
      </c>
      <c r="AG17" s="26">
        <f t="shared" si="5"/>
        <v>0</v>
      </c>
      <c r="AH17" s="12">
        <f t="shared" si="6"/>
        <v>1492</v>
      </c>
    </row>
    <row r="18" spans="1:34" ht="13.5">
      <c r="A18" s="16" t="str">
        <f t="shared" si="4"/>
        <v>15T</v>
      </c>
      <c r="B18" s="16" t="str">
        <f t="shared" si="0"/>
        <v>#</v>
      </c>
      <c r="C18" s="17" t="s">
        <v>119</v>
      </c>
      <c r="D18" s="18">
        <v>1983</v>
      </c>
      <c r="E18" s="19">
        <f>ROUND(F18+IF('Men''s Epée'!$A$3=1,G18,0)+LARGE($S18:$Y18,1)+LARGE($S18:$Y18,2),0)</f>
        <v>1425</v>
      </c>
      <c r="F18" s="20"/>
      <c r="G18" s="21"/>
      <c r="H18" s="21">
        <v>12</v>
      </c>
      <c r="I18" s="22">
        <f>IF(OR('Men''s Epée'!$A$3=1,'Men''s Epée'!$S$3=TRUE),IF(OR(H18&gt;=49,ISNUMBER(H18)=FALSE),0,VLOOKUP(H18,PointTable,I$3,TRUE)),0)</f>
        <v>575</v>
      </c>
      <c r="J18" s="21">
        <v>16</v>
      </c>
      <c r="K18" s="22">
        <f>IF(OR('Men''s Epée'!$A$3=1,'Men''s Epée'!$T$3=TRUE),IF(OR(J18&gt;=49,ISNUMBER(J18)=FALSE),0,VLOOKUP(J18,PointTable,K$3,TRUE)),0)</f>
        <v>480</v>
      </c>
      <c r="L18" s="21">
        <v>3</v>
      </c>
      <c r="M18" s="22">
        <f>IF(OR('Men''s Epée'!$A$3=1,'Men''s Epée'!$U$3=TRUE),IF(OR(L18&gt;=49,ISNUMBER(L18)=FALSE),0,VLOOKUP(L18,PointTable,M$3,TRUE)),0)</f>
        <v>850</v>
      </c>
      <c r="N18" s="23"/>
      <c r="O18" s="23"/>
      <c r="P18" s="23"/>
      <c r="Q18" s="24"/>
      <c r="S18" s="25">
        <f t="shared" si="1"/>
        <v>575</v>
      </c>
      <c r="T18" s="25">
        <f t="shared" si="2"/>
        <v>480</v>
      </c>
      <c r="U18" s="25">
        <f t="shared" si="3"/>
        <v>850</v>
      </c>
      <c r="V18" s="25">
        <f>IF(OR('Men''s Epée'!$A$3=1,N18&gt;0),ABS(N18),0)</f>
        <v>0</v>
      </c>
      <c r="W18" s="25">
        <f>IF(OR('Men''s Epée'!$A$3=1,O18&gt;0),ABS(O18),0)</f>
        <v>0</v>
      </c>
      <c r="X18" s="25">
        <f>IF(OR('Men''s Epée'!$A$3=1,P18&gt;0),ABS(P18),0)</f>
        <v>0</v>
      </c>
      <c r="Y18" s="25">
        <f>IF(OR('Men''s Epée'!$A$3=1,Q18&gt;0),ABS(Q18),0)</f>
        <v>0</v>
      </c>
      <c r="AA18" s="12">
        <f>IF('Men''s Epée'!$S$3=TRUE,I18,0)</f>
        <v>575</v>
      </c>
      <c r="AB18" s="12">
        <f>IF('Men''s Epée'!$T$3=TRUE,K18,0)</f>
        <v>480</v>
      </c>
      <c r="AC18" s="12">
        <f>IF('Men''s Epée'!$U$3=TRUE,M18,0)</f>
        <v>850</v>
      </c>
      <c r="AD18" s="26">
        <f t="shared" si="5"/>
        <v>0</v>
      </c>
      <c r="AE18" s="26">
        <f t="shared" si="5"/>
        <v>0</v>
      </c>
      <c r="AF18" s="26">
        <f t="shared" si="5"/>
        <v>0</v>
      </c>
      <c r="AG18" s="26">
        <f t="shared" si="5"/>
        <v>0</v>
      </c>
      <c r="AH18" s="12">
        <f t="shared" si="6"/>
        <v>1425</v>
      </c>
    </row>
    <row r="19" spans="1:34" ht="13.5">
      <c r="A19" s="16" t="str">
        <f t="shared" si="4"/>
        <v>15T</v>
      </c>
      <c r="B19" s="16">
        <f t="shared" si="0"/>
      </c>
      <c r="C19" s="17" t="s">
        <v>102</v>
      </c>
      <c r="D19" s="18">
        <v>1974</v>
      </c>
      <c r="E19" s="19">
        <f>ROUND(F19+IF('Men''s Epée'!$A$3=1,G19,0)+LARGE($S19:$Y19,1)+LARGE($S19:$Y19,2),0)</f>
        <v>1425</v>
      </c>
      <c r="F19" s="20"/>
      <c r="G19" s="21"/>
      <c r="H19" s="21" t="s">
        <v>5</v>
      </c>
      <c r="I19" s="22">
        <f>IF(OR('Men''s Epée'!$A$3=1,'Men''s Epée'!$S$3=TRUE),IF(OR(H19&gt;=49,ISNUMBER(H19)=FALSE),0,VLOOKUP(H19,PointTable,I$3,TRUE)),0)</f>
        <v>0</v>
      </c>
      <c r="J19" s="21">
        <v>6</v>
      </c>
      <c r="K19" s="22">
        <f>IF(OR('Men''s Epée'!$A$3=1,'Men''s Epée'!$T$3=TRUE),IF(OR(J19&gt;=49,ISNUMBER(J19)=FALSE),0,VLOOKUP(J19,PointTable,K$3,TRUE)),0)</f>
        <v>735</v>
      </c>
      <c r="L19" s="21">
        <v>7</v>
      </c>
      <c r="M19" s="22">
        <f>IF(OR('Men''s Epée'!$A$3=1,'Men''s Epée'!$U$3=TRUE),IF(OR(L19&gt;=49,ISNUMBER(L19)=FALSE),0,VLOOKUP(L19,PointTable,M$3,TRUE)),0)</f>
        <v>690</v>
      </c>
      <c r="N19" s="23"/>
      <c r="O19" s="23"/>
      <c r="P19" s="23"/>
      <c r="Q19" s="24"/>
      <c r="S19" s="25">
        <f t="shared" si="1"/>
        <v>0</v>
      </c>
      <c r="T19" s="25">
        <f t="shared" si="2"/>
        <v>735</v>
      </c>
      <c r="U19" s="25">
        <f t="shared" si="3"/>
        <v>690</v>
      </c>
      <c r="V19" s="25">
        <f>IF(OR('Men''s Epée'!$A$3=1,N19&gt;0),ABS(N19),0)</f>
        <v>0</v>
      </c>
      <c r="W19" s="25">
        <f>IF(OR('Men''s Epée'!$A$3=1,O19&gt;0),ABS(O19),0)</f>
        <v>0</v>
      </c>
      <c r="X19" s="25">
        <f>IF(OR('Men''s Epée'!$A$3=1,P19&gt;0),ABS(P19),0)</f>
        <v>0</v>
      </c>
      <c r="Y19" s="25">
        <f>IF(OR('Men''s Epée'!$A$3=1,Q19&gt;0),ABS(Q19),0)</f>
        <v>0</v>
      </c>
      <c r="AA19" s="12">
        <f>IF('Men''s Epée'!$S$3=TRUE,I19,0)</f>
        <v>0</v>
      </c>
      <c r="AB19" s="12">
        <f>IF('Men''s Epée'!$T$3=TRUE,K19,0)</f>
        <v>735</v>
      </c>
      <c r="AC19" s="12">
        <f>IF('Men''s Epée'!$U$3=TRUE,M19,0)</f>
        <v>690</v>
      </c>
      <c r="AD19" s="26">
        <f t="shared" si="5"/>
        <v>0</v>
      </c>
      <c r="AE19" s="26">
        <f t="shared" si="5"/>
        <v>0</v>
      </c>
      <c r="AF19" s="26">
        <f t="shared" si="5"/>
        <v>0</v>
      </c>
      <c r="AG19" s="26">
        <f t="shared" si="5"/>
        <v>0</v>
      </c>
      <c r="AH19" s="12">
        <f t="shared" si="6"/>
        <v>1425</v>
      </c>
    </row>
    <row r="20" spans="1:34" ht="13.5">
      <c r="A20" s="16" t="str">
        <f t="shared" si="4"/>
        <v>17</v>
      </c>
      <c r="B20" s="16" t="str">
        <f t="shared" si="0"/>
        <v>#</v>
      </c>
      <c r="C20" s="17" t="s">
        <v>178</v>
      </c>
      <c r="D20" s="18">
        <v>1987</v>
      </c>
      <c r="E20" s="19">
        <f>ROUND(F20+IF('Men''s Epée'!$A$3=1,G20,0)+LARGE($S20:$Y20,1)+LARGE($S20:$Y20,2),0)</f>
        <v>1365</v>
      </c>
      <c r="F20" s="20"/>
      <c r="G20" s="21"/>
      <c r="H20" s="21">
        <v>13</v>
      </c>
      <c r="I20" s="22">
        <f>IF(OR('Men''s Epée'!$A$3=1,'Men''s Epée'!$S$3=TRUE),IF(OR(H20&gt;=49,ISNUMBER(H20)=FALSE),0,VLOOKUP(H20,PointTable,I$3,TRUE)),0)</f>
        <v>525</v>
      </c>
      <c r="J20" s="21">
        <v>3</v>
      </c>
      <c r="K20" s="22">
        <f>IF(OR('Men''s Epée'!$A$3=1,'Men''s Epée'!$T$3=TRUE),IF(OR(J20&gt;=49,ISNUMBER(J20)=FALSE),0,VLOOKUP(J20,PointTable,K$3,TRUE)),0)</f>
        <v>840</v>
      </c>
      <c r="L20" s="21">
        <v>16</v>
      </c>
      <c r="M20" s="22">
        <f>IF(OR('Men''s Epée'!$A$3=1,'Men''s Epée'!$U$3=TRUE),IF(OR(L20&gt;=49,ISNUMBER(L20)=FALSE),0,VLOOKUP(L20,PointTable,M$3,TRUE)),0)</f>
        <v>500</v>
      </c>
      <c r="N20" s="23"/>
      <c r="O20" s="23"/>
      <c r="P20" s="23"/>
      <c r="Q20" s="24"/>
      <c r="S20" s="25">
        <f>I20</f>
        <v>525</v>
      </c>
      <c r="T20" s="25">
        <f>K20</f>
        <v>840</v>
      </c>
      <c r="U20" s="25">
        <f>M20</f>
        <v>500</v>
      </c>
      <c r="V20" s="25">
        <f>IF(OR('Men''s Epée'!$A$3=1,N20&gt;0),ABS(N20),0)</f>
        <v>0</v>
      </c>
      <c r="W20" s="25">
        <f>IF(OR('Men''s Epée'!$A$3=1,O20&gt;0),ABS(O20),0)</f>
        <v>0</v>
      </c>
      <c r="X20" s="25">
        <f>IF(OR('Men''s Epée'!$A$3=1,P20&gt;0),ABS(P20),0)</f>
        <v>0</v>
      </c>
      <c r="Y20" s="25">
        <f>IF(OR('Men''s Epée'!$A$3=1,Q20&gt;0),ABS(Q20),0)</f>
        <v>0</v>
      </c>
      <c r="AA20" s="12">
        <f>IF('Men''s Epée'!$S$3=TRUE,I20,0)</f>
        <v>525</v>
      </c>
      <c r="AB20" s="12">
        <f>IF('Men''s Epée'!$T$3=TRUE,K20,0)</f>
        <v>840</v>
      </c>
      <c r="AC20" s="12">
        <f>IF('Men''s Epée'!$U$3=TRUE,M20,0)</f>
        <v>500</v>
      </c>
      <c r="AD20" s="26">
        <f aca="true" t="shared" si="7" ref="AD20:AG22">MAX(N20,0)</f>
        <v>0</v>
      </c>
      <c r="AE20" s="26">
        <f t="shared" si="7"/>
        <v>0</v>
      </c>
      <c r="AF20" s="26">
        <f t="shared" si="7"/>
        <v>0</v>
      </c>
      <c r="AG20" s="26">
        <f t="shared" si="7"/>
        <v>0</v>
      </c>
      <c r="AH20" s="12">
        <f t="shared" si="6"/>
        <v>1365</v>
      </c>
    </row>
    <row r="21" spans="1:34" ht="13.5">
      <c r="A21" s="16" t="str">
        <f t="shared" si="4"/>
        <v>18</v>
      </c>
      <c r="B21" s="16">
        <f t="shared" si="0"/>
      </c>
      <c r="C21" s="17" t="s">
        <v>47</v>
      </c>
      <c r="D21" s="18">
        <v>1964</v>
      </c>
      <c r="E21" s="19">
        <f>ROUND(F21+IF('Men''s Epée'!$A$3=1,G21,0)+LARGE($S21:$Y21,1)+LARGE($S21:$Y21,2),0)</f>
        <v>1346</v>
      </c>
      <c r="F21" s="20">
        <v>436.31</v>
      </c>
      <c r="G21" s="21"/>
      <c r="H21" s="21" t="s">
        <v>5</v>
      </c>
      <c r="I21" s="22">
        <f>IF(OR('Men''s Epée'!$A$3=1,'Men''s Epée'!$S$3=TRUE),IF(OR(H21&gt;=49,ISNUMBER(H21)=FALSE),0,VLOOKUP(H21,PointTable,I$3,TRUE)),0)</f>
        <v>0</v>
      </c>
      <c r="J21" s="21">
        <v>23</v>
      </c>
      <c r="K21" s="22">
        <f>IF(OR('Men''s Epée'!$A$3=1,'Men''s Epée'!$T$3=TRUE),IF(OR(J21&gt;=49,ISNUMBER(J21)=FALSE),0,VLOOKUP(J21,PointTable,K$3,TRUE)),0)</f>
        <v>385</v>
      </c>
      <c r="L21" s="21">
        <v>11</v>
      </c>
      <c r="M21" s="22">
        <f>IF(OR('Men''s Epée'!$A$3=1,'Men''s Epée'!$U$3=TRUE),IF(OR(L21&gt;=49,ISNUMBER(L21)=FALSE),0,VLOOKUP(L21,PointTable,M$3,TRUE)),0)</f>
        <v>525</v>
      </c>
      <c r="N21" s="23"/>
      <c r="O21" s="23"/>
      <c r="P21" s="23"/>
      <c r="Q21" s="24"/>
      <c r="S21" s="25">
        <f>I21</f>
        <v>0</v>
      </c>
      <c r="T21" s="25">
        <f>K21</f>
        <v>385</v>
      </c>
      <c r="U21" s="25">
        <f>M21</f>
        <v>525</v>
      </c>
      <c r="V21" s="25">
        <f>IF(OR('Men''s Epée'!$A$3=1,N21&gt;0),ABS(N21),0)</f>
        <v>0</v>
      </c>
      <c r="W21" s="25">
        <f>IF(OR('Men''s Epée'!$A$3=1,O21&gt;0),ABS(O21),0)</f>
        <v>0</v>
      </c>
      <c r="X21" s="25">
        <f>IF(OR('Men''s Epée'!$A$3=1,P21&gt;0),ABS(P21),0)</f>
        <v>0</v>
      </c>
      <c r="Y21" s="25">
        <f>IF(OR('Men''s Epée'!$A$3=1,Q21&gt;0),ABS(Q21),0)</f>
        <v>0</v>
      </c>
      <c r="AA21" s="12">
        <f>IF('Men''s Epée'!$S$3=TRUE,I21,0)</f>
        <v>0</v>
      </c>
      <c r="AB21" s="12">
        <f>IF('Men''s Epée'!$T$3=TRUE,K21,0)</f>
        <v>385</v>
      </c>
      <c r="AC21" s="12">
        <f>IF('Men''s Epée'!$U$3=TRUE,M21,0)</f>
        <v>525</v>
      </c>
      <c r="AD21" s="26">
        <f t="shared" si="7"/>
        <v>0</v>
      </c>
      <c r="AE21" s="26">
        <f t="shared" si="7"/>
        <v>0</v>
      </c>
      <c r="AF21" s="26">
        <f t="shared" si="7"/>
        <v>0</v>
      </c>
      <c r="AG21" s="26">
        <f t="shared" si="7"/>
        <v>0</v>
      </c>
      <c r="AH21" s="12">
        <f t="shared" si="6"/>
        <v>1346</v>
      </c>
    </row>
    <row r="22" spans="1:34" ht="13.5">
      <c r="A22" s="16" t="str">
        <f t="shared" si="4"/>
        <v>19</v>
      </c>
      <c r="B22" s="16" t="str">
        <f t="shared" si="0"/>
        <v>#</v>
      </c>
      <c r="C22" s="17" t="s">
        <v>202</v>
      </c>
      <c r="D22" s="18">
        <v>1984</v>
      </c>
      <c r="E22" s="19">
        <f>ROUND(F22+IF('Men''s Epée'!$A$3=1,G22,0)+LARGE($S22:$Y22,1)+LARGE($S22:$Y22,2),0)</f>
        <v>895</v>
      </c>
      <c r="F22" s="20"/>
      <c r="G22" s="21"/>
      <c r="H22" s="21">
        <v>22</v>
      </c>
      <c r="I22" s="22">
        <f>IF(OR('Men''s Epée'!$A$3=1,'Men''s Epée'!$S$3=TRUE),IF(OR(H22&gt;=49,ISNUMBER(H22)=FALSE),0,VLOOKUP(H22,PointTable,I$3,TRUE)),0)</f>
        <v>390</v>
      </c>
      <c r="J22" s="21" t="s">
        <v>5</v>
      </c>
      <c r="K22" s="22">
        <f>IF(OR('Men''s Epée'!$A$3=1,'Men''s Epée'!$T$3=TRUE),IF(OR(J22&gt;=49,ISNUMBER(J22)=FALSE),0,VLOOKUP(J22,PointTable,K$3,TRUE)),0)</f>
        <v>0</v>
      </c>
      <c r="L22" s="21">
        <v>15</v>
      </c>
      <c r="M22" s="22">
        <f>IF(OR('Men''s Epée'!$A$3=1,'Men''s Epée'!$U$3=TRUE),IF(OR(L22&gt;=49,ISNUMBER(L22)=FALSE),0,VLOOKUP(L22,PointTable,M$3,TRUE)),0)</f>
        <v>505</v>
      </c>
      <c r="N22" s="23"/>
      <c r="O22" s="23"/>
      <c r="P22" s="23"/>
      <c r="Q22" s="24"/>
      <c r="S22" s="25">
        <f>I22</f>
        <v>390</v>
      </c>
      <c r="T22" s="25">
        <f>K22</f>
        <v>0</v>
      </c>
      <c r="U22" s="25">
        <f>M22</f>
        <v>505</v>
      </c>
      <c r="V22" s="25">
        <f>IF(OR('Men''s Epée'!$A$3=1,N22&gt;0),ABS(N22),0)</f>
        <v>0</v>
      </c>
      <c r="W22" s="25">
        <f>IF(OR('Men''s Epée'!$A$3=1,O22&gt;0),ABS(O22),0)</f>
        <v>0</v>
      </c>
      <c r="X22" s="25">
        <f>IF(OR('Men''s Epée'!$A$3=1,P22&gt;0),ABS(P22),0)</f>
        <v>0</v>
      </c>
      <c r="Y22" s="25">
        <f>IF(OR('Men''s Epée'!$A$3=1,Q22&gt;0),ABS(Q22),0)</f>
        <v>0</v>
      </c>
      <c r="AA22" s="12">
        <f>IF('Men''s Epée'!$S$3=TRUE,I22,0)</f>
        <v>390</v>
      </c>
      <c r="AB22" s="12">
        <f>IF('Men''s Epée'!$T$3=TRUE,K22,0)</f>
        <v>0</v>
      </c>
      <c r="AC22" s="12">
        <f>IF('Men''s Epée'!$U$3=TRUE,M22,0)</f>
        <v>505</v>
      </c>
      <c r="AD22" s="26">
        <f t="shared" si="7"/>
        <v>0</v>
      </c>
      <c r="AE22" s="26">
        <f t="shared" si="7"/>
        <v>0</v>
      </c>
      <c r="AF22" s="26">
        <f t="shared" si="7"/>
        <v>0</v>
      </c>
      <c r="AG22" s="26">
        <f t="shared" si="7"/>
        <v>0</v>
      </c>
      <c r="AH22" s="12">
        <f t="shared" si="6"/>
        <v>895</v>
      </c>
    </row>
    <row r="23" spans="1:34" ht="13.5">
      <c r="A23" s="16" t="str">
        <f t="shared" si="4"/>
        <v>20</v>
      </c>
      <c r="B23" s="16">
        <f t="shared" si="0"/>
      </c>
      <c r="C23" s="17" t="s">
        <v>188</v>
      </c>
      <c r="D23" s="18">
        <v>1974</v>
      </c>
      <c r="E23" s="19">
        <f>ROUND(F23+IF('Men''s Epée'!$A$3=1,G23,0)+LARGE($S23:$Y23,1)+LARGE($S23:$Y23,2),0)</f>
        <v>875</v>
      </c>
      <c r="F23" s="20"/>
      <c r="G23" s="21"/>
      <c r="H23" s="21">
        <v>16</v>
      </c>
      <c r="I23" s="22">
        <f>IF(OR('Men''s Epée'!$A$3=1,'Men''s Epée'!$S$3=TRUE),IF(OR(H23&gt;=49,ISNUMBER(H23)=FALSE),0,VLOOKUP(H23,PointTable,I$3,TRUE)),0)</f>
        <v>480</v>
      </c>
      <c r="J23" s="21">
        <v>21</v>
      </c>
      <c r="K23" s="22">
        <f>IF(OR('Men''s Epée'!$A$3=1,'Men''s Epée'!$T$3=TRUE),IF(OR(J23&gt;=49,ISNUMBER(J23)=FALSE),0,VLOOKUP(J23,PointTable,K$3,TRUE)),0)</f>
        <v>395</v>
      </c>
      <c r="L23" s="21" t="s">
        <v>5</v>
      </c>
      <c r="M23" s="22">
        <f>IF(OR('Men''s Epée'!$A$3=1,'Men''s Epée'!$U$3=TRUE),IF(OR(L23&gt;=49,ISNUMBER(L23)=FALSE),0,VLOOKUP(L23,PointTable,M$3,TRUE)),0)</f>
        <v>0</v>
      </c>
      <c r="N23" s="23"/>
      <c r="O23" s="23"/>
      <c r="P23" s="23"/>
      <c r="Q23" s="24"/>
      <c r="S23" s="25">
        <f aca="true" t="shared" si="8" ref="S23:S38">I23</f>
        <v>480</v>
      </c>
      <c r="T23" s="25">
        <f aca="true" t="shared" si="9" ref="T23:T38">K23</f>
        <v>395</v>
      </c>
      <c r="U23" s="25">
        <f aca="true" t="shared" si="10" ref="U23:U38">M23</f>
        <v>0</v>
      </c>
      <c r="V23" s="25">
        <f>IF(OR('Men''s Epée'!$A$3=1,N23&gt;0),ABS(N23),0)</f>
        <v>0</v>
      </c>
      <c r="W23" s="25">
        <f>IF(OR('Men''s Epée'!$A$3=1,O23&gt;0),ABS(O23),0)</f>
        <v>0</v>
      </c>
      <c r="X23" s="25">
        <f>IF(OR('Men''s Epée'!$A$3=1,P23&gt;0),ABS(P23),0)</f>
        <v>0</v>
      </c>
      <c r="Y23" s="25">
        <f>IF(OR('Men''s Epée'!$A$3=1,Q23&gt;0),ABS(Q23),0)</f>
        <v>0</v>
      </c>
      <c r="AA23" s="12">
        <f>IF('Men''s Epée'!$S$3=TRUE,I23,0)</f>
        <v>480</v>
      </c>
      <c r="AB23" s="12">
        <f>IF('Men''s Epée'!$T$3=TRUE,K23,0)</f>
        <v>395</v>
      </c>
      <c r="AC23" s="12">
        <f>IF('Men''s Epée'!$U$3=TRUE,M23,0)</f>
        <v>0</v>
      </c>
      <c r="AD23" s="26">
        <f aca="true" t="shared" si="11" ref="AD23:AD38">MAX(N23,0)</f>
        <v>0</v>
      </c>
      <c r="AE23" s="26">
        <f aca="true" t="shared" si="12" ref="AE23:AE38">MAX(O23,0)</f>
        <v>0</v>
      </c>
      <c r="AF23" s="26">
        <f aca="true" t="shared" si="13" ref="AF23:AF38">MAX(P23,0)</f>
        <v>0</v>
      </c>
      <c r="AG23" s="26">
        <f aca="true" t="shared" si="14" ref="AG23:AG38">MAX(Q23,0)</f>
        <v>0</v>
      </c>
      <c r="AH23" s="12">
        <f t="shared" si="6"/>
        <v>875</v>
      </c>
    </row>
    <row r="24" spans="1:34" ht="13.5">
      <c r="A24" s="16" t="str">
        <f t="shared" si="4"/>
        <v>21</v>
      </c>
      <c r="B24" s="16" t="str">
        <f t="shared" si="0"/>
        <v>#</v>
      </c>
      <c r="C24" s="17" t="s">
        <v>203</v>
      </c>
      <c r="D24" s="18">
        <v>1984</v>
      </c>
      <c r="E24" s="19">
        <f>ROUND(F24+IF('Men''s Epée'!$A$3=1,G24,0)+LARGE($S24:$Y24,1)+LARGE($S24:$Y24,2),0)</f>
        <v>785</v>
      </c>
      <c r="F24" s="20"/>
      <c r="G24" s="21"/>
      <c r="H24" s="21" t="s">
        <v>5</v>
      </c>
      <c r="I24" s="22">
        <f>IF(OR('Men''s Epée'!$A$3=1,'Men''s Epée'!$S$3=TRUE),IF(OR(H24&gt;=49,ISNUMBER(H24)=FALSE),0,VLOOKUP(H24,PointTable,I$3,TRUE)),0)</f>
        <v>0</v>
      </c>
      <c r="J24" s="21">
        <v>33</v>
      </c>
      <c r="K24" s="22">
        <f>IF(OR('Men''s Epée'!$A$3=1,'Men''s Epée'!$T$3=TRUE),IF(OR(J24&gt;=49,ISNUMBER(J24)=FALSE),0,VLOOKUP(J24,PointTable,K$3,TRUE)),0)</f>
        <v>275</v>
      </c>
      <c r="L24" s="21">
        <v>14</v>
      </c>
      <c r="M24" s="22">
        <f>IF(OR('Men''s Epée'!$A$3=1,'Men''s Epée'!$U$3=TRUE),IF(OR(L24&gt;=49,ISNUMBER(L24)=FALSE),0,VLOOKUP(L24,PointTable,M$3,TRUE)),0)</f>
        <v>510</v>
      </c>
      <c r="N24" s="23"/>
      <c r="O24" s="23"/>
      <c r="P24" s="23"/>
      <c r="Q24" s="24"/>
      <c r="S24" s="25">
        <f t="shared" si="8"/>
        <v>0</v>
      </c>
      <c r="T24" s="25">
        <f t="shared" si="9"/>
        <v>275</v>
      </c>
      <c r="U24" s="25">
        <f t="shared" si="10"/>
        <v>510</v>
      </c>
      <c r="V24" s="25">
        <f>IF(OR('Men''s Epée'!$A$3=1,N24&gt;0),ABS(N24),0)</f>
        <v>0</v>
      </c>
      <c r="W24" s="25">
        <f>IF(OR('Men''s Epée'!$A$3=1,O24&gt;0),ABS(O24),0)</f>
        <v>0</v>
      </c>
      <c r="X24" s="25">
        <f>IF(OR('Men''s Epée'!$A$3=1,P24&gt;0),ABS(P24),0)</f>
        <v>0</v>
      </c>
      <c r="Y24" s="25">
        <f>IF(OR('Men''s Epée'!$A$3=1,Q24&gt;0),ABS(Q24),0)</f>
        <v>0</v>
      </c>
      <c r="AA24" s="12">
        <f>IF('Men''s Epée'!$S$3=TRUE,I24,0)</f>
        <v>0</v>
      </c>
      <c r="AB24" s="12">
        <f>IF('Men''s Epée'!$T$3=TRUE,K24,0)</f>
        <v>275</v>
      </c>
      <c r="AC24" s="12">
        <f>IF('Men''s Epée'!$U$3=TRUE,M24,0)</f>
        <v>510</v>
      </c>
      <c r="AD24" s="26">
        <f t="shared" si="11"/>
        <v>0</v>
      </c>
      <c r="AE24" s="26">
        <f t="shared" si="12"/>
        <v>0</v>
      </c>
      <c r="AF24" s="26">
        <f t="shared" si="13"/>
        <v>0</v>
      </c>
      <c r="AG24" s="26">
        <f t="shared" si="14"/>
        <v>0</v>
      </c>
      <c r="AH24" s="12">
        <f t="shared" si="6"/>
        <v>785</v>
      </c>
    </row>
    <row r="25" spans="1:34" ht="13.5">
      <c r="A25" s="16" t="str">
        <f t="shared" si="4"/>
        <v>22T</v>
      </c>
      <c r="B25" s="16" t="str">
        <f t="shared" si="0"/>
        <v>#</v>
      </c>
      <c r="C25" s="17" t="s">
        <v>293</v>
      </c>
      <c r="D25" s="18">
        <v>1984</v>
      </c>
      <c r="E25" s="19">
        <f>ROUND(F25+IF('Men''s Epée'!$A$3=1,G25,0)+LARGE($S25:$Y25,1)+LARGE($S25:$Y25,2),0)</f>
        <v>710</v>
      </c>
      <c r="F25" s="20"/>
      <c r="G25" s="21"/>
      <c r="H25" s="21">
        <v>18</v>
      </c>
      <c r="I25" s="22">
        <f>IF(OR('Men''s Epée'!$A$3=1,'Men''s Epée'!$S$3=TRUE),IF(OR(H25&gt;=49,ISNUMBER(H25)=FALSE),0,VLOOKUP(H25,PointTable,I$3,TRUE)),0)</f>
        <v>410</v>
      </c>
      <c r="J25" s="21">
        <v>28</v>
      </c>
      <c r="K25" s="22">
        <f>IF(OR('Men''s Epée'!$A$3=1,'Men''s Epée'!$T$3=TRUE),IF(OR(J25&gt;=49,ISNUMBER(J25)=FALSE),0,VLOOKUP(J25,PointTable,K$3,TRUE)),0)</f>
        <v>300</v>
      </c>
      <c r="L25" s="21" t="s">
        <v>5</v>
      </c>
      <c r="M25" s="22">
        <f>IF(OR('Men''s Epée'!$A$3=1,'Men''s Epée'!$U$3=TRUE),IF(OR(L25&gt;=49,ISNUMBER(L25)=FALSE),0,VLOOKUP(L25,PointTable,M$3,TRUE)),0)</f>
        <v>0</v>
      </c>
      <c r="N25" s="23"/>
      <c r="O25" s="23"/>
      <c r="P25" s="23"/>
      <c r="Q25" s="24"/>
      <c r="S25" s="25">
        <f t="shared" si="8"/>
        <v>410</v>
      </c>
      <c r="T25" s="25">
        <f t="shared" si="9"/>
        <v>300</v>
      </c>
      <c r="U25" s="25">
        <f t="shared" si="10"/>
        <v>0</v>
      </c>
      <c r="V25" s="25">
        <f>IF(OR('Men''s Epée'!$A$3=1,N25&gt;0),ABS(N25),0)</f>
        <v>0</v>
      </c>
      <c r="W25" s="25">
        <f>IF(OR('Men''s Epée'!$A$3=1,O25&gt;0),ABS(O25),0)</f>
        <v>0</v>
      </c>
      <c r="X25" s="25">
        <f>IF(OR('Men''s Epée'!$A$3=1,P25&gt;0),ABS(P25),0)</f>
        <v>0</v>
      </c>
      <c r="Y25" s="25">
        <f>IF(OR('Men''s Epée'!$A$3=1,Q25&gt;0),ABS(Q25),0)</f>
        <v>0</v>
      </c>
      <c r="AA25" s="12">
        <f>IF('Men''s Epée'!$S$3=TRUE,I25,0)</f>
        <v>410</v>
      </c>
      <c r="AB25" s="12">
        <f>IF('Men''s Epée'!$T$3=TRUE,K25,0)</f>
        <v>300</v>
      </c>
      <c r="AC25" s="12">
        <f>IF('Men''s Epée'!$U$3=TRUE,M25,0)</f>
        <v>0</v>
      </c>
      <c r="AD25" s="26">
        <f t="shared" si="11"/>
        <v>0</v>
      </c>
      <c r="AE25" s="26">
        <f t="shared" si="12"/>
        <v>0</v>
      </c>
      <c r="AF25" s="26">
        <f t="shared" si="13"/>
        <v>0</v>
      </c>
      <c r="AG25" s="26">
        <f t="shared" si="14"/>
        <v>0</v>
      </c>
      <c r="AH25" s="12">
        <f t="shared" si="6"/>
        <v>710</v>
      </c>
    </row>
    <row r="26" spans="1:34" ht="13.5">
      <c r="A26" s="16" t="str">
        <f t="shared" si="4"/>
        <v>22T</v>
      </c>
      <c r="B26" s="16">
        <f t="shared" si="0"/>
      </c>
      <c r="C26" s="17" t="s">
        <v>122</v>
      </c>
      <c r="D26" s="18">
        <v>1979</v>
      </c>
      <c r="E26" s="19">
        <f>ROUND(F26+IF('Men''s Epée'!$A$3=1,G26,0)+LARGE($S26:$Y26,1)+LARGE($S26:$Y26,2),0)</f>
        <v>710</v>
      </c>
      <c r="F26" s="20"/>
      <c r="G26" s="21"/>
      <c r="H26" s="21">
        <v>20</v>
      </c>
      <c r="I26" s="22">
        <f>IF(OR('Men''s Epée'!$A$3=1,'Men''s Epée'!$S$3=TRUE),IF(OR(H26&gt;=49,ISNUMBER(H26)=FALSE),0,VLOOKUP(H26,PointTable,I$3,TRUE)),0)</f>
        <v>400</v>
      </c>
      <c r="J26" s="21">
        <v>26</v>
      </c>
      <c r="K26" s="22">
        <f>IF(OR('Men''s Epée'!$A$3=1,'Men''s Epée'!$T$3=TRUE),IF(OR(J26&gt;=49,ISNUMBER(J26)=FALSE),0,VLOOKUP(J26,PointTable,K$3,TRUE)),0)</f>
        <v>310</v>
      </c>
      <c r="L26" s="21" t="s">
        <v>5</v>
      </c>
      <c r="M26" s="22">
        <f>IF(OR('Men''s Epée'!$A$3=1,'Men''s Epée'!$U$3=TRUE),IF(OR(L26&gt;=49,ISNUMBER(L26)=FALSE),0,VLOOKUP(L26,PointTable,M$3,TRUE)),0)</f>
        <v>0</v>
      </c>
      <c r="N26" s="23"/>
      <c r="O26" s="23"/>
      <c r="P26" s="23"/>
      <c r="Q26" s="24"/>
      <c r="S26" s="25">
        <f t="shared" si="8"/>
        <v>400</v>
      </c>
      <c r="T26" s="25">
        <f t="shared" si="9"/>
        <v>310</v>
      </c>
      <c r="U26" s="25">
        <f t="shared" si="10"/>
        <v>0</v>
      </c>
      <c r="V26" s="25">
        <f>IF(OR('Men''s Epée'!$A$3=1,N26&gt;0),ABS(N26),0)</f>
        <v>0</v>
      </c>
      <c r="W26" s="25">
        <f>IF(OR('Men''s Epée'!$A$3=1,O26&gt;0),ABS(O26),0)</f>
        <v>0</v>
      </c>
      <c r="X26" s="25">
        <f>IF(OR('Men''s Epée'!$A$3=1,P26&gt;0),ABS(P26),0)</f>
        <v>0</v>
      </c>
      <c r="Y26" s="25">
        <f>IF(OR('Men''s Epée'!$A$3=1,Q26&gt;0),ABS(Q26),0)</f>
        <v>0</v>
      </c>
      <c r="AA26" s="12">
        <f>IF('Men''s Epée'!$S$3=TRUE,I26,0)</f>
        <v>400</v>
      </c>
      <c r="AB26" s="12">
        <f>IF('Men''s Epée'!$T$3=TRUE,K26,0)</f>
        <v>310</v>
      </c>
      <c r="AC26" s="12">
        <f>IF('Men''s Epée'!$U$3=TRUE,M26,0)</f>
        <v>0</v>
      </c>
      <c r="AD26" s="26">
        <f t="shared" si="11"/>
        <v>0</v>
      </c>
      <c r="AE26" s="26">
        <f t="shared" si="12"/>
        <v>0</v>
      </c>
      <c r="AF26" s="26">
        <f t="shared" si="13"/>
        <v>0</v>
      </c>
      <c r="AG26" s="26">
        <f t="shared" si="14"/>
        <v>0</v>
      </c>
      <c r="AH26" s="12">
        <f t="shared" si="6"/>
        <v>710</v>
      </c>
    </row>
    <row r="27" spans="1:34" ht="13.5">
      <c r="A27" s="16" t="str">
        <f t="shared" si="4"/>
        <v>24</v>
      </c>
      <c r="B27" s="16">
        <f t="shared" si="0"/>
      </c>
      <c r="C27" s="17" t="s">
        <v>294</v>
      </c>
      <c r="D27" s="18">
        <v>1981</v>
      </c>
      <c r="E27" s="19">
        <f>ROUND(F27+IF('Men''s Epée'!$A$3=1,G27,0)+LARGE($S27:$Y27,1)+LARGE($S27:$Y27,2),0)</f>
        <v>685</v>
      </c>
      <c r="F27" s="20"/>
      <c r="G27" s="21"/>
      <c r="H27" s="21">
        <v>21</v>
      </c>
      <c r="I27" s="22">
        <f>IF(OR('Men''s Epée'!$A$3=1,'Men''s Epée'!$S$3=TRUE),IF(OR(H27&gt;=49,ISNUMBER(H27)=FALSE),0,VLOOKUP(H27,PointTable,I$3,TRUE)),0)</f>
        <v>395</v>
      </c>
      <c r="J27" s="21">
        <v>30</v>
      </c>
      <c r="K27" s="22">
        <f>IF(OR('Men''s Epée'!$A$3=1,'Men''s Epée'!$T$3=TRUE),IF(OR(J27&gt;=49,ISNUMBER(J27)=FALSE),0,VLOOKUP(J27,PointTable,K$3,TRUE)),0)</f>
        <v>290</v>
      </c>
      <c r="L27" s="21" t="s">
        <v>5</v>
      </c>
      <c r="M27" s="22">
        <f>IF(OR('Men''s Epée'!$A$3=1,'Men''s Epée'!$U$3=TRUE),IF(OR(L27&gt;=49,ISNUMBER(L27)=FALSE),0,VLOOKUP(L27,PointTable,M$3,TRUE)),0)</f>
        <v>0</v>
      </c>
      <c r="N27" s="23"/>
      <c r="O27" s="23"/>
      <c r="P27" s="23"/>
      <c r="Q27" s="24"/>
      <c r="S27" s="25">
        <f t="shared" si="8"/>
        <v>395</v>
      </c>
      <c r="T27" s="25">
        <f t="shared" si="9"/>
        <v>290</v>
      </c>
      <c r="U27" s="25">
        <f t="shared" si="10"/>
        <v>0</v>
      </c>
      <c r="V27" s="25">
        <f>IF(OR('Men''s Epée'!$A$3=1,N27&gt;0),ABS(N27),0)</f>
        <v>0</v>
      </c>
      <c r="W27" s="25">
        <f>IF(OR('Men''s Epée'!$A$3=1,O27&gt;0),ABS(O27),0)</f>
        <v>0</v>
      </c>
      <c r="X27" s="25">
        <f>IF(OR('Men''s Epée'!$A$3=1,P27&gt;0),ABS(P27),0)</f>
        <v>0</v>
      </c>
      <c r="Y27" s="25">
        <f>IF(OR('Men''s Epée'!$A$3=1,Q27&gt;0),ABS(Q27),0)</f>
        <v>0</v>
      </c>
      <c r="AA27" s="12">
        <f>IF('Men''s Epée'!$S$3=TRUE,I27,0)</f>
        <v>395</v>
      </c>
      <c r="AB27" s="12">
        <f>IF('Men''s Epée'!$T$3=TRUE,K27,0)</f>
        <v>290</v>
      </c>
      <c r="AC27" s="12">
        <f>IF('Men''s Epée'!$U$3=TRUE,M27,0)</f>
        <v>0</v>
      </c>
      <c r="AD27" s="26">
        <f t="shared" si="11"/>
        <v>0</v>
      </c>
      <c r="AE27" s="26">
        <f t="shared" si="12"/>
        <v>0</v>
      </c>
      <c r="AF27" s="26">
        <f t="shared" si="13"/>
        <v>0</v>
      </c>
      <c r="AG27" s="26">
        <f t="shared" si="14"/>
        <v>0</v>
      </c>
      <c r="AH27" s="12">
        <f t="shared" si="6"/>
        <v>685</v>
      </c>
    </row>
    <row r="28" spans="1:34" ht="13.5">
      <c r="A28" s="16" t="str">
        <f t="shared" si="4"/>
        <v>25</v>
      </c>
      <c r="B28" s="16">
        <f t="shared" si="0"/>
      </c>
      <c r="C28" s="17" t="s">
        <v>306</v>
      </c>
      <c r="D28" s="18">
        <v>1980</v>
      </c>
      <c r="E28" s="19">
        <f>ROUND(F28+IF('Men''s Epée'!$A$3=1,G28,0)+LARGE($S28:$Y28,1)+LARGE($S28:$Y28,2),0)</f>
        <v>640</v>
      </c>
      <c r="F28" s="20"/>
      <c r="G28" s="21"/>
      <c r="H28" s="21">
        <v>17</v>
      </c>
      <c r="I28" s="22">
        <f>IF(OR('Men''s Epée'!$A$3=1,'Men''s Epée'!$S$3=TRUE),IF(OR(H28&gt;=49,ISNUMBER(H28)=FALSE),0,VLOOKUP(H28,PointTable,I$3,TRUE)),0)</f>
        <v>415</v>
      </c>
      <c r="J28" s="21">
        <v>43</v>
      </c>
      <c r="K28" s="22">
        <f>IF(OR('Men''s Epée'!$A$3=1,'Men''s Epée'!$T$3=TRUE),IF(OR(J28&gt;=49,ISNUMBER(J28)=FALSE),0,VLOOKUP(J28,PointTable,K$3,TRUE)),0)</f>
        <v>225</v>
      </c>
      <c r="L28" s="21" t="s">
        <v>5</v>
      </c>
      <c r="M28" s="22">
        <f>IF(OR('Men''s Epée'!$A$3=1,'Men''s Epée'!$U$3=TRUE),IF(OR(L28&gt;=49,ISNUMBER(L28)=FALSE),0,VLOOKUP(L28,PointTable,M$3,TRUE)),0)</f>
        <v>0</v>
      </c>
      <c r="N28" s="23"/>
      <c r="O28" s="23"/>
      <c r="P28" s="23"/>
      <c r="Q28" s="24"/>
      <c r="S28" s="25">
        <f t="shared" si="8"/>
        <v>415</v>
      </c>
      <c r="T28" s="25">
        <f t="shared" si="9"/>
        <v>225</v>
      </c>
      <c r="U28" s="25">
        <f t="shared" si="10"/>
        <v>0</v>
      </c>
      <c r="V28" s="25">
        <f>IF(OR('Men''s Epée'!$A$3=1,N28&gt;0),ABS(N28),0)</f>
        <v>0</v>
      </c>
      <c r="W28" s="25">
        <f>IF(OR('Men''s Epée'!$A$3=1,O28&gt;0),ABS(O28),0)</f>
        <v>0</v>
      </c>
      <c r="X28" s="25">
        <f>IF(OR('Men''s Epée'!$A$3=1,P28&gt;0),ABS(P28),0)</f>
        <v>0</v>
      </c>
      <c r="Y28" s="25">
        <f>IF(OR('Men''s Epée'!$A$3=1,Q28&gt;0),ABS(Q28),0)</f>
        <v>0</v>
      </c>
      <c r="AA28" s="12">
        <f>IF('Men''s Epée'!$S$3=TRUE,I28,0)</f>
        <v>415</v>
      </c>
      <c r="AB28" s="12">
        <f>IF('Men''s Epée'!$T$3=TRUE,K28,0)</f>
        <v>225</v>
      </c>
      <c r="AC28" s="12">
        <f>IF('Men''s Epée'!$U$3=TRUE,M28,0)</f>
        <v>0</v>
      </c>
      <c r="AD28" s="26">
        <f t="shared" si="11"/>
        <v>0</v>
      </c>
      <c r="AE28" s="26">
        <f t="shared" si="12"/>
        <v>0</v>
      </c>
      <c r="AF28" s="26">
        <f t="shared" si="13"/>
        <v>0</v>
      </c>
      <c r="AG28" s="26">
        <f t="shared" si="14"/>
        <v>0</v>
      </c>
      <c r="AH28" s="12">
        <f t="shared" si="6"/>
        <v>640</v>
      </c>
    </row>
    <row r="29" spans="1:34" ht="13.5">
      <c r="A29" s="16" t="str">
        <f t="shared" si="4"/>
        <v>26</v>
      </c>
      <c r="B29" s="16">
        <f t="shared" si="0"/>
      </c>
      <c r="C29" s="17" t="s">
        <v>94</v>
      </c>
      <c r="D29" s="18">
        <v>1981</v>
      </c>
      <c r="E29" s="19">
        <f>ROUND(F29+IF('Men''s Epée'!$A$3=1,G29,0)+LARGE($S29:$Y29,1)+LARGE($S29:$Y29,2),0)</f>
        <v>610</v>
      </c>
      <c r="F29" s="20"/>
      <c r="G29" s="21"/>
      <c r="H29" s="21">
        <v>19</v>
      </c>
      <c r="I29" s="22">
        <f>IF(OR('Men''s Epée'!$A$3=1,'Men''s Epée'!$S$3=TRUE),IF(OR(H29&gt;=49,ISNUMBER(H29)=FALSE),0,VLOOKUP(H29,PointTable,I$3,TRUE)),0)</f>
        <v>405</v>
      </c>
      <c r="J29" s="21">
        <v>47</v>
      </c>
      <c r="K29" s="22">
        <f>IF(OR('Men''s Epée'!$A$3=1,'Men''s Epée'!$T$3=TRUE),IF(OR(J29&gt;=49,ISNUMBER(J29)=FALSE),0,VLOOKUP(J29,PointTable,K$3,TRUE)),0)</f>
        <v>205</v>
      </c>
      <c r="L29" s="21" t="s">
        <v>5</v>
      </c>
      <c r="M29" s="22">
        <f>IF(OR('Men''s Epée'!$A$3=1,'Men''s Epée'!$U$3=TRUE),IF(OR(L29&gt;=49,ISNUMBER(L29)=FALSE),0,VLOOKUP(L29,PointTable,M$3,TRUE)),0)</f>
        <v>0</v>
      </c>
      <c r="N29" s="23"/>
      <c r="O29" s="23"/>
      <c r="P29" s="23"/>
      <c r="Q29" s="24"/>
      <c r="S29" s="25">
        <f t="shared" si="8"/>
        <v>405</v>
      </c>
      <c r="T29" s="25">
        <f t="shared" si="9"/>
        <v>205</v>
      </c>
      <c r="U29" s="25">
        <f t="shared" si="10"/>
        <v>0</v>
      </c>
      <c r="V29" s="25">
        <f>IF(OR('Men''s Epée'!$A$3=1,N29&gt;0),ABS(N29),0)</f>
        <v>0</v>
      </c>
      <c r="W29" s="25">
        <f>IF(OR('Men''s Epée'!$A$3=1,O29&gt;0),ABS(O29),0)</f>
        <v>0</v>
      </c>
      <c r="X29" s="25">
        <f>IF(OR('Men''s Epée'!$A$3=1,P29&gt;0),ABS(P29),0)</f>
        <v>0</v>
      </c>
      <c r="Y29" s="25">
        <f>IF(OR('Men''s Epée'!$A$3=1,Q29&gt;0),ABS(Q29),0)</f>
        <v>0</v>
      </c>
      <c r="AA29" s="12">
        <f>IF('Men''s Epée'!$S$3=TRUE,I29,0)</f>
        <v>405</v>
      </c>
      <c r="AB29" s="12">
        <f>IF('Men''s Epée'!$T$3=TRUE,K29,0)</f>
        <v>205</v>
      </c>
      <c r="AC29" s="12">
        <f>IF('Men''s Epée'!$U$3=TRUE,M29,0)</f>
        <v>0</v>
      </c>
      <c r="AD29" s="26">
        <f t="shared" si="11"/>
        <v>0</v>
      </c>
      <c r="AE29" s="26">
        <f t="shared" si="12"/>
        <v>0</v>
      </c>
      <c r="AF29" s="26">
        <f t="shared" si="13"/>
        <v>0</v>
      </c>
      <c r="AG29" s="26">
        <f t="shared" si="14"/>
        <v>0</v>
      </c>
      <c r="AH29" s="12">
        <f t="shared" si="6"/>
        <v>610</v>
      </c>
    </row>
    <row r="30" spans="1:34" ht="13.5">
      <c r="A30" s="16" t="str">
        <f t="shared" si="4"/>
        <v>27</v>
      </c>
      <c r="B30" s="16" t="str">
        <f t="shared" si="0"/>
        <v>#</v>
      </c>
      <c r="C30" s="17" t="s">
        <v>201</v>
      </c>
      <c r="D30" s="18">
        <v>1985</v>
      </c>
      <c r="E30" s="19">
        <f>ROUND(F30+IF('Men''s Epée'!$A$3=1,G30,0)+LARGE($S30:$Y30,1)+LARGE($S30:$Y30,2),0)</f>
        <v>515</v>
      </c>
      <c r="F30" s="20"/>
      <c r="G30" s="21"/>
      <c r="H30" s="21" t="s">
        <v>5</v>
      </c>
      <c r="I30" s="22">
        <f>IF(OR('Men''s Epée'!$A$3=1,'Men''s Epée'!$S$3=TRUE),IF(OR(H30&gt;=49,ISNUMBER(H30)=FALSE),0,VLOOKUP(H30,PointTable,I$3,TRUE)),0)</f>
        <v>0</v>
      </c>
      <c r="J30" s="21" t="s">
        <v>5</v>
      </c>
      <c r="K30" s="22">
        <f>IF(OR('Men''s Epée'!$A$3=1,'Men''s Epée'!$T$3=TRUE),IF(OR(J30&gt;=49,ISNUMBER(J30)=FALSE),0,VLOOKUP(J30,PointTable,K$3,TRUE)),0)</f>
        <v>0</v>
      </c>
      <c r="L30" s="21">
        <v>13</v>
      </c>
      <c r="M30" s="22">
        <f>IF(OR('Men''s Epée'!$A$3=1,'Men''s Epée'!$U$3=TRUE),IF(OR(L30&gt;=49,ISNUMBER(L30)=FALSE),0,VLOOKUP(L30,PointTable,M$3,TRUE)),0)</f>
        <v>515</v>
      </c>
      <c r="N30" s="23"/>
      <c r="O30" s="23"/>
      <c r="P30" s="23"/>
      <c r="Q30" s="24"/>
      <c r="S30" s="25">
        <f t="shared" si="8"/>
        <v>0</v>
      </c>
      <c r="T30" s="25">
        <f t="shared" si="9"/>
        <v>0</v>
      </c>
      <c r="U30" s="25">
        <f t="shared" si="10"/>
        <v>515</v>
      </c>
      <c r="V30" s="25">
        <f>IF(OR('Men''s Epée'!$A$3=1,N30&gt;0),ABS(N30),0)</f>
        <v>0</v>
      </c>
      <c r="W30" s="25">
        <f>IF(OR('Men''s Epée'!$A$3=1,O30&gt;0),ABS(O30),0)</f>
        <v>0</v>
      </c>
      <c r="X30" s="25">
        <f>IF(OR('Men''s Epée'!$A$3=1,P30&gt;0),ABS(P30),0)</f>
        <v>0</v>
      </c>
      <c r="Y30" s="25">
        <f>IF(OR('Men''s Epée'!$A$3=1,Q30&gt;0),ABS(Q30),0)</f>
        <v>0</v>
      </c>
      <c r="AA30" s="12">
        <f>IF('Men''s Epée'!$S$3=TRUE,I30,0)</f>
        <v>0</v>
      </c>
      <c r="AB30" s="12">
        <f>IF('Men''s Epée'!$T$3=TRUE,K30,0)</f>
        <v>0</v>
      </c>
      <c r="AC30" s="12">
        <f>IF('Men''s Epée'!$U$3=TRUE,M30,0)</f>
        <v>515</v>
      </c>
      <c r="AD30" s="26">
        <f t="shared" si="11"/>
        <v>0</v>
      </c>
      <c r="AE30" s="26">
        <f t="shared" si="12"/>
        <v>0</v>
      </c>
      <c r="AF30" s="26">
        <f t="shared" si="13"/>
        <v>0</v>
      </c>
      <c r="AG30" s="26">
        <f t="shared" si="14"/>
        <v>0</v>
      </c>
      <c r="AH30" s="12">
        <f t="shared" si="6"/>
        <v>515</v>
      </c>
    </row>
    <row r="31" spans="1:34" ht="13.5">
      <c r="A31" s="16" t="str">
        <f t="shared" si="4"/>
        <v>28</v>
      </c>
      <c r="B31" s="16" t="str">
        <f t="shared" si="0"/>
        <v>#</v>
      </c>
      <c r="C31" s="17" t="s">
        <v>292</v>
      </c>
      <c r="D31" s="18">
        <v>1987</v>
      </c>
      <c r="E31" s="19">
        <f>ROUND(F31+IF('Men''s Epée'!$A$3=1,G31,0)+LARGE($S31:$Y31,1)+LARGE($S31:$Y31,2),0)</f>
        <v>495</v>
      </c>
      <c r="F31" s="20"/>
      <c r="G31" s="21"/>
      <c r="H31" s="21">
        <v>15</v>
      </c>
      <c r="I31" s="22">
        <f>IF(OR('Men''s Epée'!$A$3=1,'Men''s Epée'!$S$3=TRUE),IF(OR(H31&gt;=49,ISNUMBER(H31)=FALSE),0,VLOOKUP(H31,PointTable,I$3,TRUE)),0)</f>
        <v>495</v>
      </c>
      <c r="J31" s="21" t="s">
        <v>5</v>
      </c>
      <c r="K31" s="22">
        <f>IF(OR('Men''s Epée'!$A$3=1,'Men''s Epée'!$T$3=TRUE),IF(OR(J31&gt;=49,ISNUMBER(J31)=FALSE),0,VLOOKUP(J31,PointTable,K$3,TRUE)),0)</f>
        <v>0</v>
      </c>
      <c r="L31" s="21" t="s">
        <v>5</v>
      </c>
      <c r="M31" s="22">
        <f>IF(OR('Men''s Epée'!$A$3=1,'Men''s Epée'!$U$3=TRUE),IF(OR(L31&gt;=49,ISNUMBER(L31)=FALSE),0,VLOOKUP(L31,PointTable,M$3,TRUE)),0)</f>
        <v>0</v>
      </c>
      <c r="N31" s="23"/>
      <c r="O31" s="23"/>
      <c r="P31" s="23"/>
      <c r="Q31" s="24"/>
      <c r="S31" s="25">
        <f t="shared" si="8"/>
        <v>495</v>
      </c>
      <c r="T31" s="25">
        <f t="shared" si="9"/>
        <v>0</v>
      </c>
      <c r="U31" s="25">
        <f t="shared" si="10"/>
        <v>0</v>
      </c>
      <c r="V31" s="25">
        <f>IF(OR('Men''s Epée'!$A$3=1,N31&gt;0),ABS(N31),0)</f>
        <v>0</v>
      </c>
      <c r="W31" s="25">
        <f>IF(OR('Men''s Epée'!$A$3=1,O31&gt;0),ABS(O31),0)</f>
        <v>0</v>
      </c>
      <c r="X31" s="25">
        <f>IF(OR('Men''s Epée'!$A$3=1,P31&gt;0),ABS(P31),0)</f>
        <v>0</v>
      </c>
      <c r="Y31" s="25">
        <f>IF(OR('Men''s Epée'!$A$3=1,Q31&gt;0),ABS(Q31),0)</f>
        <v>0</v>
      </c>
      <c r="AA31" s="12">
        <f>IF('Men''s Epée'!$S$3=TRUE,I31,0)</f>
        <v>495</v>
      </c>
      <c r="AB31" s="12">
        <f>IF('Men''s Epée'!$T$3=TRUE,K31,0)</f>
        <v>0</v>
      </c>
      <c r="AC31" s="12">
        <f>IF('Men''s Epée'!$U$3=TRUE,M31,0)</f>
        <v>0</v>
      </c>
      <c r="AD31" s="26">
        <f t="shared" si="11"/>
        <v>0</v>
      </c>
      <c r="AE31" s="26">
        <f t="shared" si="12"/>
        <v>0</v>
      </c>
      <c r="AF31" s="26">
        <f t="shared" si="13"/>
        <v>0</v>
      </c>
      <c r="AG31" s="26">
        <f t="shared" si="14"/>
        <v>0</v>
      </c>
      <c r="AH31" s="12">
        <f t="shared" si="6"/>
        <v>495</v>
      </c>
    </row>
    <row r="32" spans="1:34" ht="13.5">
      <c r="A32" s="16" t="str">
        <f t="shared" si="4"/>
        <v>29</v>
      </c>
      <c r="B32" s="16">
        <f t="shared" si="0"/>
      </c>
      <c r="C32" s="17" t="s">
        <v>89</v>
      </c>
      <c r="D32" s="18">
        <v>1969</v>
      </c>
      <c r="E32" s="19">
        <f>ROUND(F32+IF('Men''s Epée'!$A$3=1,G32,0)+LARGE($S32:$Y32,1)+LARGE($S32:$Y32,2),0)</f>
        <v>410</v>
      </c>
      <c r="F32" s="20"/>
      <c r="G32" s="21"/>
      <c r="H32" s="21" t="s">
        <v>5</v>
      </c>
      <c r="I32" s="22">
        <f>IF(OR('Men''s Epée'!$A$3=1,'Men''s Epée'!$S$3=TRUE),IF(OR(H32&gt;=49,ISNUMBER(H32)=FALSE),0,VLOOKUP(H32,PointTable,I$3,TRUE)),0)</f>
        <v>0</v>
      </c>
      <c r="J32" s="21">
        <v>18</v>
      </c>
      <c r="K32" s="22">
        <f>IF(OR('Men''s Epée'!$A$3=1,'Men''s Epée'!$T$3=TRUE),IF(OR(J32&gt;=49,ISNUMBER(J32)=FALSE),0,VLOOKUP(J32,PointTable,K$3,TRUE)),0)</f>
        <v>410</v>
      </c>
      <c r="L32" s="21" t="s">
        <v>5</v>
      </c>
      <c r="M32" s="22">
        <f>IF(OR('Men''s Epée'!$A$3=1,'Men''s Epée'!$U$3=TRUE),IF(OR(L32&gt;=49,ISNUMBER(L32)=FALSE),0,VLOOKUP(L32,PointTable,M$3,TRUE)),0)</f>
        <v>0</v>
      </c>
      <c r="N32" s="23"/>
      <c r="O32" s="23"/>
      <c r="P32" s="23"/>
      <c r="Q32" s="24"/>
      <c r="S32" s="25">
        <f t="shared" si="8"/>
        <v>0</v>
      </c>
      <c r="T32" s="25">
        <f t="shared" si="9"/>
        <v>410</v>
      </c>
      <c r="U32" s="25">
        <f t="shared" si="10"/>
        <v>0</v>
      </c>
      <c r="V32" s="25">
        <f>IF(OR('Men''s Epée'!$A$3=1,N32&gt;0),ABS(N32),0)</f>
        <v>0</v>
      </c>
      <c r="W32" s="25">
        <f>IF(OR('Men''s Epée'!$A$3=1,O32&gt;0),ABS(O32),0)</f>
        <v>0</v>
      </c>
      <c r="X32" s="25">
        <f>IF(OR('Men''s Epée'!$A$3=1,P32&gt;0),ABS(P32),0)</f>
        <v>0</v>
      </c>
      <c r="Y32" s="25">
        <f>IF(OR('Men''s Epée'!$A$3=1,Q32&gt;0),ABS(Q32),0)</f>
        <v>0</v>
      </c>
      <c r="AA32" s="12">
        <f>IF('Men''s Epée'!$S$3=TRUE,I32,0)</f>
        <v>0</v>
      </c>
      <c r="AB32" s="12">
        <f>IF('Men''s Epée'!$T$3=TRUE,K32,0)</f>
        <v>410</v>
      </c>
      <c r="AC32" s="12">
        <f>IF('Men''s Epée'!$U$3=TRUE,M32,0)</f>
        <v>0</v>
      </c>
      <c r="AD32" s="26">
        <f t="shared" si="11"/>
        <v>0</v>
      </c>
      <c r="AE32" s="26">
        <f t="shared" si="12"/>
        <v>0</v>
      </c>
      <c r="AF32" s="26">
        <f t="shared" si="13"/>
        <v>0</v>
      </c>
      <c r="AG32" s="26">
        <f t="shared" si="14"/>
        <v>0</v>
      </c>
      <c r="AH32" s="12">
        <f t="shared" si="6"/>
        <v>410</v>
      </c>
    </row>
    <row r="33" spans="1:34" ht="13.5">
      <c r="A33" s="16" t="str">
        <f t="shared" si="4"/>
        <v>30</v>
      </c>
      <c r="B33" s="16" t="str">
        <f t="shared" si="0"/>
        <v>#</v>
      </c>
      <c r="C33" s="17" t="s">
        <v>129</v>
      </c>
      <c r="D33" s="18">
        <v>1985</v>
      </c>
      <c r="E33" s="19">
        <f>ROUND(F33+IF('Men''s Epée'!$A$3=1,G33,0)+LARGE($S33:$Y33,1)+LARGE($S33:$Y33,2),0)</f>
        <v>400</v>
      </c>
      <c r="F33" s="20"/>
      <c r="G33" s="21"/>
      <c r="H33" s="21" t="s">
        <v>5</v>
      </c>
      <c r="I33" s="22">
        <f>IF(OR('Men''s Epée'!$A$3=1,'Men''s Epée'!$S$3=TRUE),IF(OR(H33&gt;=49,ISNUMBER(H33)=FALSE),0,VLOOKUP(H33,PointTable,I$3,TRUE)),0)</f>
        <v>0</v>
      </c>
      <c r="J33" s="21">
        <v>20</v>
      </c>
      <c r="K33" s="22">
        <f>IF(OR('Men''s Epée'!$A$3=1,'Men''s Epée'!$T$3=TRUE),IF(OR(J33&gt;=49,ISNUMBER(J33)=FALSE),0,VLOOKUP(J33,PointTable,K$3,TRUE)),0)</f>
        <v>400</v>
      </c>
      <c r="L33" s="21" t="s">
        <v>5</v>
      </c>
      <c r="M33" s="22">
        <f>IF(OR('Men''s Epée'!$A$3=1,'Men''s Epée'!$U$3=TRUE),IF(OR(L33&gt;=49,ISNUMBER(L33)=FALSE),0,VLOOKUP(L33,PointTable,M$3,TRUE)),0)</f>
        <v>0</v>
      </c>
      <c r="N33" s="23"/>
      <c r="O33" s="23"/>
      <c r="P33" s="23"/>
      <c r="Q33" s="24"/>
      <c r="S33" s="25">
        <f t="shared" si="8"/>
        <v>0</v>
      </c>
      <c r="T33" s="25">
        <f t="shared" si="9"/>
        <v>400</v>
      </c>
      <c r="U33" s="25">
        <f t="shared" si="10"/>
        <v>0</v>
      </c>
      <c r="V33" s="25">
        <f>IF(OR('Men''s Epée'!$A$3=1,N33&gt;0),ABS(N33),0)</f>
        <v>0</v>
      </c>
      <c r="W33" s="25">
        <f>IF(OR('Men''s Epée'!$A$3=1,O33&gt;0),ABS(O33),0)</f>
        <v>0</v>
      </c>
      <c r="X33" s="25">
        <f>IF(OR('Men''s Epée'!$A$3=1,P33&gt;0),ABS(P33),0)</f>
        <v>0</v>
      </c>
      <c r="Y33" s="25">
        <f>IF(OR('Men''s Epée'!$A$3=1,Q33&gt;0),ABS(Q33),0)</f>
        <v>0</v>
      </c>
      <c r="AA33" s="12">
        <f>IF('Men''s Epée'!$S$3=TRUE,I33,0)</f>
        <v>0</v>
      </c>
      <c r="AB33" s="12">
        <f>IF('Men''s Epée'!$T$3=TRUE,K33,0)</f>
        <v>400</v>
      </c>
      <c r="AC33" s="12">
        <f>IF('Men''s Epée'!$U$3=TRUE,M33,0)</f>
        <v>0</v>
      </c>
      <c r="AD33" s="26">
        <f t="shared" si="11"/>
        <v>0</v>
      </c>
      <c r="AE33" s="26">
        <f t="shared" si="12"/>
        <v>0</v>
      </c>
      <c r="AF33" s="26">
        <f t="shared" si="13"/>
        <v>0</v>
      </c>
      <c r="AG33" s="26">
        <f t="shared" si="14"/>
        <v>0</v>
      </c>
      <c r="AH33" s="12">
        <f t="shared" si="6"/>
        <v>400</v>
      </c>
    </row>
    <row r="34" spans="1:34" ht="13.5">
      <c r="A34" s="16" t="str">
        <f t="shared" si="4"/>
        <v>31</v>
      </c>
      <c r="B34" s="16">
        <f t="shared" si="0"/>
      </c>
      <c r="C34" s="17" t="s">
        <v>147</v>
      </c>
      <c r="D34" s="18">
        <v>1980</v>
      </c>
      <c r="E34" s="19">
        <f>ROUND(F34+IF('Men''s Epée'!$A$3=1,G34,0)+LARGE($S34:$Y34,1)+LARGE($S34:$Y34,2),0)</f>
        <v>390</v>
      </c>
      <c r="F34" s="20"/>
      <c r="G34" s="21"/>
      <c r="H34" s="21" t="s">
        <v>5</v>
      </c>
      <c r="I34" s="22">
        <f>IF(OR('Men''s Epée'!$A$3=1,'Men''s Epée'!$S$3=TRUE),IF(OR(H34&gt;=49,ISNUMBER(H34)=FALSE),0,VLOOKUP(H34,PointTable,I$3,TRUE)),0)</f>
        <v>0</v>
      </c>
      <c r="J34" s="21">
        <v>22</v>
      </c>
      <c r="K34" s="22">
        <f>IF(OR('Men''s Epée'!$A$3=1,'Men''s Epée'!$T$3=TRUE),IF(OR(J34&gt;=49,ISNUMBER(J34)=FALSE),0,VLOOKUP(J34,PointTable,K$3,TRUE)),0)</f>
        <v>390</v>
      </c>
      <c r="L34" s="21" t="s">
        <v>5</v>
      </c>
      <c r="M34" s="22">
        <f>IF(OR('Men''s Epée'!$A$3=1,'Men''s Epée'!$U$3=TRUE),IF(OR(L34&gt;=49,ISNUMBER(L34)=FALSE),0,VLOOKUP(L34,PointTable,M$3,TRUE)),0)</f>
        <v>0</v>
      </c>
      <c r="N34" s="23"/>
      <c r="O34" s="23"/>
      <c r="P34" s="23"/>
      <c r="Q34" s="24"/>
      <c r="S34" s="25">
        <f t="shared" si="8"/>
        <v>0</v>
      </c>
      <c r="T34" s="25">
        <f t="shared" si="9"/>
        <v>390</v>
      </c>
      <c r="U34" s="25">
        <f t="shared" si="10"/>
        <v>0</v>
      </c>
      <c r="V34" s="25">
        <f>IF(OR('Men''s Epée'!$A$3=1,N34&gt;0),ABS(N34),0)</f>
        <v>0</v>
      </c>
      <c r="W34" s="25">
        <f>IF(OR('Men''s Epée'!$A$3=1,O34&gt;0),ABS(O34),0)</f>
        <v>0</v>
      </c>
      <c r="X34" s="25">
        <f>IF(OR('Men''s Epée'!$A$3=1,P34&gt;0),ABS(P34),0)</f>
        <v>0</v>
      </c>
      <c r="Y34" s="25">
        <f>IF(OR('Men''s Epée'!$A$3=1,Q34&gt;0),ABS(Q34),0)</f>
        <v>0</v>
      </c>
      <c r="AA34" s="12">
        <f>IF('Men''s Epée'!$S$3=TRUE,I34,0)</f>
        <v>0</v>
      </c>
      <c r="AB34" s="12">
        <f>IF('Men''s Epée'!$T$3=TRUE,K34,0)</f>
        <v>390</v>
      </c>
      <c r="AC34" s="12">
        <f>IF('Men''s Epée'!$U$3=TRUE,M34,0)</f>
        <v>0</v>
      </c>
      <c r="AD34" s="26">
        <f t="shared" si="11"/>
        <v>0</v>
      </c>
      <c r="AE34" s="26">
        <f t="shared" si="12"/>
        <v>0</v>
      </c>
      <c r="AF34" s="26">
        <f t="shared" si="13"/>
        <v>0</v>
      </c>
      <c r="AG34" s="26">
        <f t="shared" si="14"/>
        <v>0</v>
      </c>
      <c r="AH34" s="12">
        <f t="shared" si="6"/>
        <v>390</v>
      </c>
    </row>
    <row r="35" spans="1:34" ht="13.5">
      <c r="A35" s="16" t="str">
        <f t="shared" si="4"/>
        <v>32</v>
      </c>
      <c r="B35" s="16">
        <f t="shared" si="0"/>
      </c>
      <c r="C35" s="17" t="s">
        <v>295</v>
      </c>
      <c r="D35" s="18">
        <v>1979</v>
      </c>
      <c r="E35" s="19">
        <f>ROUND(F35+IF('Men''s Epée'!$A$3=1,G35,0)+LARGE($S35:$Y35,1)+LARGE($S35:$Y35,2),0)</f>
        <v>385</v>
      </c>
      <c r="F35" s="20"/>
      <c r="G35" s="21"/>
      <c r="H35" s="21">
        <v>23</v>
      </c>
      <c r="I35" s="22">
        <f>IF(OR('Men''s Epée'!$A$3=1,'Men''s Epée'!$S$3=TRUE),IF(OR(H35&gt;=49,ISNUMBER(H35)=FALSE),0,VLOOKUP(H35,PointTable,I$3,TRUE)),0)</f>
        <v>385</v>
      </c>
      <c r="J35" s="21" t="s">
        <v>5</v>
      </c>
      <c r="K35" s="22">
        <f>IF(OR('Men''s Epée'!$A$3=1,'Men''s Epée'!$T$3=TRUE),IF(OR(J35&gt;=49,ISNUMBER(J35)=FALSE),0,VLOOKUP(J35,PointTable,K$3,TRUE)),0)</f>
        <v>0</v>
      </c>
      <c r="L35" s="21" t="s">
        <v>5</v>
      </c>
      <c r="M35" s="22">
        <f>IF(OR('Men''s Epée'!$A$3=1,'Men''s Epée'!$U$3=TRUE),IF(OR(L35&gt;=49,ISNUMBER(L35)=FALSE),0,VLOOKUP(L35,PointTable,M$3,TRUE)),0)</f>
        <v>0</v>
      </c>
      <c r="N35" s="23"/>
      <c r="O35" s="23"/>
      <c r="P35" s="23"/>
      <c r="Q35" s="24"/>
      <c r="S35" s="25">
        <f t="shared" si="8"/>
        <v>385</v>
      </c>
      <c r="T35" s="25">
        <f t="shared" si="9"/>
        <v>0</v>
      </c>
      <c r="U35" s="25">
        <f t="shared" si="10"/>
        <v>0</v>
      </c>
      <c r="V35" s="25">
        <f>IF(OR('Men''s Epée'!$A$3=1,N35&gt;0),ABS(N35),0)</f>
        <v>0</v>
      </c>
      <c r="W35" s="25">
        <f>IF(OR('Men''s Epée'!$A$3=1,O35&gt;0),ABS(O35),0)</f>
        <v>0</v>
      </c>
      <c r="X35" s="25">
        <f>IF(OR('Men''s Epée'!$A$3=1,P35&gt;0),ABS(P35),0)</f>
        <v>0</v>
      </c>
      <c r="Y35" s="25">
        <f>IF(OR('Men''s Epée'!$A$3=1,Q35&gt;0),ABS(Q35),0)</f>
        <v>0</v>
      </c>
      <c r="AA35" s="12">
        <f>IF('Men''s Epée'!$S$3=TRUE,I35,0)</f>
        <v>385</v>
      </c>
      <c r="AB35" s="12">
        <f>IF('Men''s Epée'!$T$3=TRUE,K35,0)</f>
        <v>0</v>
      </c>
      <c r="AC35" s="12">
        <f>IF('Men''s Epée'!$U$3=TRUE,M35,0)</f>
        <v>0</v>
      </c>
      <c r="AD35" s="26">
        <f t="shared" si="11"/>
        <v>0</v>
      </c>
      <c r="AE35" s="26">
        <f t="shared" si="12"/>
        <v>0</v>
      </c>
      <c r="AF35" s="26">
        <f t="shared" si="13"/>
        <v>0</v>
      </c>
      <c r="AG35" s="26">
        <f t="shared" si="14"/>
        <v>0</v>
      </c>
      <c r="AH35" s="12">
        <f t="shared" si="6"/>
        <v>385</v>
      </c>
    </row>
    <row r="36" spans="1:34" ht="13.5">
      <c r="A36" s="16" t="str">
        <f t="shared" si="4"/>
        <v>33T</v>
      </c>
      <c r="B36" s="16" t="str">
        <f t="shared" si="0"/>
        <v>#</v>
      </c>
      <c r="C36" s="17" t="s">
        <v>346</v>
      </c>
      <c r="D36" s="18">
        <v>1985</v>
      </c>
      <c r="E36" s="19">
        <f>ROUND(F36+IF('Men''s Epée'!$A$3=1,G36,0)+LARGE($S36:$Y36,1)+LARGE($S36:$Y36,2),0)</f>
        <v>380</v>
      </c>
      <c r="F36" s="20"/>
      <c r="G36" s="21"/>
      <c r="H36" s="21" t="s">
        <v>5</v>
      </c>
      <c r="I36" s="22">
        <f>IF(OR('Men''s Epée'!$A$3=1,'Men''s Epée'!$S$3=TRUE),IF(OR(H36&gt;=49,ISNUMBER(H36)=FALSE),0,VLOOKUP(H36,PointTable,I$3,TRUE)),0)</f>
        <v>0</v>
      </c>
      <c r="J36" s="21">
        <v>24</v>
      </c>
      <c r="K36" s="22">
        <f>IF(OR('Men''s Epée'!$A$3=1,'Men''s Epée'!$T$3=TRUE),IF(OR(J36&gt;=49,ISNUMBER(J36)=FALSE),0,VLOOKUP(J36,PointTable,K$3,TRUE)),0)</f>
        <v>380</v>
      </c>
      <c r="L36" s="21" t="s">
        <v>5</v>
      </c>
      <c r="M36" s="22">
        <f>IF(OR('Men''s Epée'!$A$3=1,'Men''s Epée'!$U$3=TRUE),IF(OR(L36&gt;=49,ISNUMBER(L36)=FALSE),0,VLOOKUP(L36,PointTable,M$3,TRUE)),0)</f>
        <v>0</v>
      </c>
      <c r="N36" s="23"/>
      <c r="O36" s="23"/>
      <c r="P36" s="23"/>
      <c r="Q36" s="24"/>
      <c r="S36" s="25">
        <f t="shared" si="8"/>
        <v>0</v>
      </c>
      <c r="T36" s="25">
        <f t="shared" si="9"/>
        <v>380</v>
      </c>
      <c r="U36" s="25">
        <f t="shared" si="10"/>
        <v>0</v>
      </c>
      <c r="V36" s="25">
        <f>IF(OR('Men''s Epée'!$A$3=1,N36&gt;0),ABS(N36),0)</f>
        <v>0</v>
      </c>
      <c r="W36" s="25">
        <f>IF(OR('Men''s Epée'!$A$3=1,O36&gt;0),ABS(O36),0)</f>
        <v>0</v>
      </c>
      <c r="X36" s="25">
        <f>IF(OR('Men''s Epée'!$A$3=1,P36&gt;0),ABS(P36),0)</f>
        <v>0</v>
      </c>
      <c r="Y36" s="25">
        <f>IF(OR('Men''s Epée'!$A$3=1,Q36&gt;0),ABS(Q36),0)</f>
        <v>0</v>
      </c>
      <c r="AA36" s="12">
        <f>IF('Men''s Epée'!$S$3=TRUE,I36,0)</f>
        <v>0</v>
      </c>
      <c r="AB36" s="12">
        <f>IF('Men''s Epée'!$T$3=TRUE,K36,0)</f>
        <v>380</v>
      </c>
      <c r="AC36" s="12">
        <f>IF('Men''s Epée'!$U$3=TRUE,M36,0)</f>
        <v>0</v>
      </c>
      <c r="AD36" s="26">
        <f t="shared" si="11"/>
        <v>0</v>
      </c>
      <c r="AE36" s="26">
        <f t="shared" si="12"/>
        <v>0</v>
      </c>
      <c r="AF36" s="26">
        <f t="shared" si="13"/>
        <v>0</v>
      </c>
      <c r="AG36" s="26">
        <f t="shared" si="14"/>
        <v>0</v>
      </c>
      <c r="AH36" s="12">
        <f t="shared" si="6"/>
        <v>380</v>
      </c>
    </row>
    <row r="37" spans="1:34" ht="13.5">
      <c r="A37" s="16" t="str">
        <f t="shared" si="4"/>
        <v>33T</v>
      </c>
      <c r="B37" s="16" t="str">
        <f t="shared" si="0"/>
        <v>#</v>
      </c>
      <c r="C37" s="17" t="s">
        <v>296</v>
      </c>
      <c r="D37" s="18">
        <v>1987</v>
      </c>
      <c r="E37" s="19">
        <f>ROUND(F37+IF('Men''s Epée'!$A$3=1,G37,0)+LARGE($S37:$Y37,1)+LARGE($S37:$Y37,2),0)</f>
        <v>380</v>
      </c>
      <c r="F37" s="20"/>
      <c r="G37" s="21"/>
      <c r="H37" s="21">
        <v>24</v>
      </c>
      <c r="I37" s="22">
        <f>IF(OR('Men''s Epée'!$A$3=1,'Men''s Epée'!$S$3=TRUE),IF(OR(H37&gt;=49,ISNUMBER(H37)=FALSE),0,VLOOKUP(H37,PointTable,I$3,TRUE)),0)</f>
        <v>380</v>
      </c>
      <c r="J37" s="21" t="s">
        <v>5</v>
      </c>
      <c r="K37" s="22">
        <f>IF(OR('Men''s Epée'!$A$3=1,'Men''s Epée'!$T$3=TRUE),IF(OR(J37&gt;=49,ISNUMBER(J37)=FALSE),0,VLOOKUP(J37,PointTable,K$3,TRUE)),0)</f>
        <v>0</v>
      </c>
      <c r="L37" s="21" t="s">
        <v>5</v>
      </c>
      <c r="M37" s="22">
        <f>IF(OR('Men''s Epée'!$A$3=1,'Men''s Epée'!$U$3=TRUE),IF(OR(L37&gt;=49,ISNUMBER(L37)=FALSE),0,VLOOKUP(L37,PointTable,M$3,TRUE)),0)</f>
        <v>0</v>
      </c>
      <c r="N37" s="23"/>
      <c r="O37" s="23"/>
      <c r="P37" s="23"/>
      <c r="Q37" s="24"/>
      <c r="S37" s="25">
        <f t="shared" si="8"/>
        <v>380</v>
      </c>
      <c r="T37" s="25">
        <f t="shared" si="9"/>
        <v>0</v>
      </c>
      <c r="U37" s="25">
        <f t="shared" si="10"/>
        <v>0</v>
      </c>
      <c r="V37" s="25">
        <f>IF(OR('Men''s Epée'!$A$3=1,N37&gt;0),ABS(N37),0)</f>
        <v>0</v>
      </c>
      <c r="W37" s="25">
        <f>IF(OR('Men''s Epée'!$A$3=1,O37&gt;0),ABS(O37),0)</f>
        <v>0</v>
      </c>
      <c r="X37" s="25">
        <f>IF(OR('Men''s Epée'!$A$3=1,P37&gt;0),ABS(P37),0)</f>
        <v>0</v>
      </c>
      <c r="Y37" s="25">
        <f>IF(OR('Men''s Epée'!$A$3=1,Q37&gt;0),ABS(Q37),0)</f>
        <v>0</v>
      </c>
      <c r="AA37" s="12">
        <f>IF('Men''s Epée'!$S$3=TRUE,I37,0)</f>
        <v>380</v>
      </c>
      <c r="AB37" s="12">
        <f>IF('Men''s Epée'!$T$3=TRUE,K37,0)</f>
        <v>0</v>
      </c>
      <c r="AC37" s="12">
        <f>IF('Men''s Epée'!$U$3=TRUE,M37,0)</f>
        <v>0</v>
      </c>
      <c r="AD37" s="26">
        <f t="shared" si="11"/>
        <v>0</v>
      </c>
      <c r="AE37" s="26">
        <f t="shared" si="12"/>
        <v>0</v>
      </c>
      <c r="AF37" s="26">
        <f t="shared" si="13"/>
        <v>0</v>
      </c>
      <c r="AG37" s="26">
        <f t="shared" si="14"/>
        <v>0</v>
      </c>
      <c r="AH37" s="12">
        <f t="shared" si="6"/>
        <v>380</v>
      </c>
    </row>
    <row r="38" spans="1:34" ht="13.5">
      <c r="A38" s="16" t="str">
        <f t="shared" si="4"/>
        <v>35</v>
      </c>
      <c r="B38" s="16" t="str">
        <f t="shared" si="0"/>
        <v>#</v>
      </c>
      <c r="C38" s="17" t="s">
        <v>347</v>
      </c>
      <c r="D38" s="18">
        <v>1985</v>
      </c>
      <c r="E38" s="19">
        <f>ROUND(F38+IF('Men''s Epée'!$A$3=1,G38,0)+LARGE($S38:$Y38,1)+LARGE($S38:$Y38,2),0)</f>
        <v>270</v>
      </c>
      <c r="F38" s="20"/>
      <c r="G38" s="21"/>
      <c r="H38" s="21" t="s">
        <v>5</v>
      </c>
      <c r="I38" s="22">
        <f>IF(OR('Men''s Epée'!$A$3=1,'Men''s Epée'!$S$3=TRUE),IF(OR(H38&gt;=49,ISNUMBER(H38)=FALSE),0,VLOOKUP(H38,PointTable,I$3,TRUE)),0)</f>
        <v>0</v>
      </c>
      <c r="J38" s="21">
        <v>34</v>
      </c>
      <c r="K38" s="22">
        <f>IF(OR('Men''s Epée'!$A$3=1,'Men''s Epée'!$T$3=TRUE),IF(OR(J38&gt;=49,ISNUMBER(J38)=FALSE),0,VLOOKUP(J38,PointTable,K$3,TRUE)),0)</f>
        <v>270</v>
      </c>
      <c r="L38" s="21" t="s">
        <v>5</v>
      </c>
      <c r="M38" s="22">
        <f>IF(OR('Men''s Epée'!$A$3=1,'Men''s Epée'!$U$3=TRUE),IF(OR(L38&gt;=49,ISNUMBER(L38)=FALSE),0,VLOOKUP(L38,PointTable,M$3,TRUE)),0)</f>
        <v>0</v>
      </c>
      <c r="N38" s="23"/>
      <c r="O38" s="23"/>
      <c r="P38" s="23"/>
      <c r="Q38" s="24"/>
      <c r="S38" s="25">
        <f t="shared" si="8"/>
        <v>0</v>
      </c>
      <c r="T38" s="25">
        <f t="shared" si="9"/>
        <v>270</v>
      </c>
      <c r="U38" s="25">
        <f t="shared" si="10"/>
        <v>0</v>
      </c>
      <c r="V38" s="25">
        <f>IF(OR('Men''s Epée'!$A$3=1,N38&gt;0),ABS(N38),0)</f>
        <v>0</v>
      </c>
      <c r="W38" s="25">
        <f>IF(OR('Men''s Epée'!$A$3=1,O38&gt;0),ABS(O38),0)</f>
        <v>0</v>
      </c>
      <c r="X38" s="25">
        <f>IF(OR('Men''s Epée'!$A$3=1,P38&gt;0),ABS(P38),0)</f>
        <v>0</v>
      </c>
      <c r="Y38" s="25">
        <f>IF(OR('Men''s Epée'!$A$3=1,Q38&gt;0),ABS(Q38),0)</f>
        <v>0</v>
      </c>
      <c r="AA38" s="12">
        <f>IF('Men''s Epée'!$S$3=TRUE,I38,0)</f>
        <v>0</v>
      </c>
      <c r="AB38" s="12">
        <f>IF('Men''s Epée'!$T$3=TRUE,K38,0)</f>
        <v>270</v>
      </c>
      <c r="AC38" s="12">
        <f>IF('Men''s Epée'!$U$3=TRUE,M38,0)</f>
        <v>0</v>
      </c>
      <c r="AD38" s="26">
        <f t="shared" si="11"/>
        <v>0</v>
      </c>
      <c r="AE38" s="26">
        <f t="shared" si="12"/>
        <v>0</v>
      </c>
      <c r="AF38" s="26">
        <f t="shared" si="13"/>
        <v>0</v>
      </c>
      <c r="AG38" s="26">
        <f t="shared" si="14"/>
        <v>0</v>
      </c>
      <c r="AH38" s="12">
        <f t="shared" si="6"/>
        <v>270</v>
      </c>
    </row>
    <row r="39" spans="1:34" ht="13.5">
      <c r="A39" s="16" t="str">
        <f t="shared" si="4"/>
        <v>36</v>
      </c>
      <c r="B39" s="16">
        <f t="shared" si="0"/>
      </c>
      <c r="C39" s="17" t="s">
        <v>348</v>
      </c>
      <c r="D39" s="18">
        <v>1982</v>
      </c>
      <c r="E39" s="19">
        <f>ROUND(F39+IF('Men''s Epée'!$A$3=1,G39,0)+LARGE($S39:$Y39,1)+LARGE($S39:$Y39,2),0)</f>
        <v>265</v>
      </c>
      <c r="F39" s="20"/>
      <c r="G39" s="21"/>
      <c r="H39" s="21" t="s">
        <v>5</v>
      </c>
      <c r="I39" s="22">
        <f>IF(OR('Men''s Epée'!$A$3=1,'Men''s Epée'!$S$3=TRUE),IF(OR(H39&gt;=49,ISNUMBER(H39)=FALSE),0,VLOOKUP(H39,PointTable,I$3,TRUE)),0)</f>
        <v>0</v>
      </c>
      <c r="J39" s="21">
        <v>35</v>
      </c>
      <c r="K39" s="22">
        <f>IF(OR('Men''s Epée'!$A$3=1,'Men''s Epée'!$T$3=TRUE),IF(OR(J39&gt;=49,ISNUMBER(J39)=FALSE),0,VLOOKUP(J39,PointTable,K$3,TRUE)),0)</f>
        <v>265</v>
      </c>
      <c r="L39" s="21" t="s">
        <v>5</v>
      </c>
      <c r="M39" s="22">
        <f>IF(OR('Men''s Epée'!$A$3=1,'Men''s Epée'!$U$3=TRUE),IF(OR(L39&gt;=49,ISNUMBER(L39)=FALSE),0,VLOOKUP(L39,PointTable,M$3,TRUE)),0)</f>
        <v>0</v>
      </c>
      <c r="N39" s="23"/>
      <c r="O39" s="23"/>
      <c r="P39" s="23"/>
      <c r="Q39" s="24"/>
      <c r="S39" s="25">
        <f aca="true" t="shared" si="15" ref="S39:S47">I39</f>
        <v>0</v>
      </c>
      <c r="T39" s="25">
        <f aca="true" t="shared" si="16" ref="T39:T47">K39</f>
        <v>265</v>
      </c>
      <c r="U39" s="25">
        <f aca="true" t="shared" si="17" ref="U39:U47">M39</f>
        <v>0</v>
      </c>
      <c r="V39" s="25">
        <f>IF(OR('Men''s Epée'!$A$3=1,N39&gt;0),ABS(N39),0)</f>
        <v>0</v>
      </c>
      <c r="W39" s="25">
        <f>IF(OR('Men''s Epée'!$A$3=1,O39&gt;0),ABS(O39),0)</f>
        <v>0</v>
      </c>
      <c r="X39" s="25">
        <f>IF(OR('Men''s Epée'!$A$3=1,P39&gt;0),ABS(P39),0)</f>
        <v>0</v>
      </c>
      <c r="Y39" s="25">
        <f>IF(OR('Men''s Epée'!$A$3=1,Q39&gt;0),ABS(Q39),0)</f>
        <v>0</v>
      </c>
      <c r="AA39" s="12">
        <f>IF('Men''s Epée'!$S$3=TRUE,I39,0)</f>
        <v>0</v>
      </c>
      <c r="AB39" s="12">
        <f>IF('Men''s Epée'!$T$3=TRUE,K39,0)</f>
        <v>265</v>
      </c>
      <c r="AC39" s="12">
        <f>IF('Men''s Epée'!$U$3=TRUE,M39,0)</f>
        <v>0</v>
      </c>
      <c r="AD39" s="26">
        <f aca="true" t="shared" si="18" ref="AD39:AG42">MAX(N39,0)</f>
        <v>0</v>
      </c>
      <c r="AE39" s="26">
        <f t="shared" si="18"/>
        <v>0</v>
      </c>
      <c r="AF39" s="26">
        <f t="shared" si="18"/>
        <v>0</v>
      </c>
      <c r="AG39" s="26">
        <f t="shared" si="18"/>
        <v>0</v>
      </c>
      <c r="AH39" s="12">
        <f t="shared" si="6"/>
        <v>265</v>
      </c>
    </row>
    <row r="40" spans="1:34" ht="13.5">
      <c r="A40" s="16" t="str">
        <f t="shared" si="4"/>
        <v>37</v>
      </c>
      <c r="B40" s="16">
        <f aca="true" t="shared" si="19" ref="B40:B47">TRIM(IF(D40&gt;=JuniorCutoff,"#",""))</f>
      </c>
      <c r="C40" s="17" t="s">
        <v>87</v>
      </c>
      <c r="D40" s="18">
        <v>1980</v>
      </c>
      <c r="E40" s="19">
        <f>ROUND(F40+IF('Men''s Epée'!$A$3=1,G40,0)+LARGE($S40:$Y40,1)+LARGE($S40:$Y40,2),0)</f>
        <v>255</v>
      </c>
      <c r="F40" s="20"/>
      <c r="G40" s="21"/>
      <c r="H40" s="21" t="s">
        <v>5</v>
      </c>
      <c r="I40" s="22">
        <f>IF(OR('Men''s Epée'!$A$3=1,'Men''s Epée'!$S$3=TRUE),IF(OR(H40&gt;=49,ISNUMBER(H40)=FALSE),0,VLOOKUP(H40,PointTable,I$3,TRUE)),0)</f>
        <v>0</v>
      </c>
      <c r="J40" s="21">
        <v>37</v>
      </c>
      <c r="K40" s="22">
        <f>IF(OR('Men''s Epée'!$A$3=1,'Men''s Epée'!$T$3=TRUE),IF(OR(J40&gt;=49,ISNUMBER(J40)=FALSE),0,VLOOKUP(J40,PointTable,K$3,TRUE)),0)</f>
        <v>255</v>
      </c>
      <c r="L40" s="21" t="s">
        <v>5</v>
      </c>
      <c r="M40" s="22">
        <f>IF(OR('Men''s Epée'!$A$3=1,'Men''s Epée'!$U$3=TRUE),IF(OR(L40&gt;=49,ISNUMBER(L40)=FALSE),0,VLOOKUP(L40,PointTable,M$3,TRUE)),0)</f>
        <v>0</v>
      </c>
      <c r="N40" s="23"/>
      <c r="O40" s="23"/>
      <c r="P40" s="23"/>
      <c r="Q40" s="24"/>
      <c r="S40" s="25">
        <f t="shared" si="15"/>
        <v>0</v>
      </c>
      <c r="T40" s="25">
        <f t="shared" si="16"/>
        <v>255</v>
      </c>
      <c r="U40" s="25">
        <f t="shared" si="17"/>
        <v>0</v>
      </c>
      <c r="V40" s="25">
        <f>IF(OR('Men''s Epée'!$A$3=1,N40&gt;0),ABS(N40),0)</f>
        <v>0</v>
      </c>
      <c r="W40" s="25">
        <f>IF(OR('Men''s Epée'!$A$3=1,O40&gt;0),ABS(O40),0)</f>
        <v>0</v>
      </c>
      <c r="X40" s="25">
        <f>IF(OR('Men''s Epée'!$A$3=1,P40&gt;0),ABS(P40),0)</f>
        <v>0</v>
      </c>
      <c r="Y40" s="25">
        <f>IF(OR('Men''s Epée'!$A$3=1,Q40&gt;0),ABS(Q40),0)</f>
        <v>0</v>
      </c>
      <c r="AA40" s="12">
        <f>IF('Men''s Epée'!$S$3=TRUE,I40,0)</f>
        <v>0</v>
      </c>
      <c r="AB40" s="12">
        <f>IF('Men''s Epée'!$T$3=TRUE,K40,0)</f>
        <v>255</v>
      </c>
      <c r="AC40" s="12">
        <f>IF('Men''s Epée'!$U$3=TRUE,M40,0)</f>
        <v>0</v>
      </c>
      <c r="AD40" s="26">
        <f t="shared" si="18"/>
        <v>0</v>
      </c>
      <c r="AE40" s="26">
        <f t="shared" si="18"/>
        <v>0</v>
      </c>
      <c r="AF40" s="26">
        <f t="shared" si="18"/>
        <v>0</v>
      </c>
      <c r="AG40" s="26">
        <f t="shared" si="18"/>
        <v>0</v>
      </c>
      <c r="AH40" s="12">
        <f t="shared" si="6"/>
        <v>255</v>
      </c>
    </row>
    <row r="41" spans="1:34" ht="13.5">
      <c r="A41" s="16" t="str">
        <f t="shared" si="4"/>
        <v>38</v>
      </c>
      <c r="B41" s="16">
        <f t="shared" si="19"/>
      </c>
      <c r="C41" s="17" t="s">
        <v>128</v>
      </c>
      <c r="D41" s="18">
        <v>1979</v>
      </c>
      <c r="E41" s="19">
        <f>ROUND(F41+IF('Men''s Epée'!$A$3=1,G41,0)+LARGE($S41:$Y41,1)+LARGE($S41:$Y41,2),0)</f>
        <v>245</v>
      </c>
      <c r="F41" s="20"/>
      <c r="G41" s="21"/>
      <c r="H41" s="21" t="s">
        <v>5</v>
      </c>
      <c r="I41" s="22">
        <f>IF(OR('Men''s Epée'!$A$3=1,'Men''s Epée'!$S$3=TRUE),IF(OR(H41&gt;=49,ISNUMBER(H41)=FALSE),0,VLOOKUP(H41,PointTable,I$3,TRUE)),0)</f>
        <v>0</v>
      </c>
      <c r="J41" s="21">
        <v>39</v>
      </c>
      <c r="K41" s="22">
        <f>IF(OR('Men''s Epée'!$A$3=1,'Men''s Epée'!$T$3=TRUE),IF(OR(J41&gt;=49,ISNUMBER(J41)=FALSE),0,VLOOKUP(J41,PointTable,K$3,TRUE)),0)</f>
        <v>245</v>
      </c>
      <c r="L41" s="21" t="s">
        <v>5</v>
      </c>
      <c r="M41" s="22">
        <f>IF(OR('Men''s Epée'!$A$3=1,'Men''s Epée'!$U$3=TRUE),IF(OR(L41&gt;=49,ISNUMBER(L41)=FALSE),0,VLOOKUP(L41,PointTable,M$3,TRUE)),0)</f>
        <v>0</v>
      </c>
      <c r="N41" s="23"/>
      <c r="O41" s="23"/>
      <c r="P41" s="23"/>
      <c r="Q41" s="24"/>
      <c r="S41" s="25">
        <f t="shared" si="15"/>
        <v>0</v>
      </c>
      <c r="T41" s="25">
        <f t="shared" si="16"/>
        <v>245</v>
      </c>
      <c r="U41" s="25">
        <f t="shared" si="17"/>
        <v>0</v>
      </c>
      <c r="V41" s="25">
        <f>IF(OR('Men''s Epée'!$A$3=1,N41&gt;0),ABS(N41),0)</f>
        <v>0</v>
      </c>
      <c r="W41" s="25">
        <f>IF(OR('Men''s Epée'!$A$3=1,O41&gt;0),ABS(O41),0)</f>
        <v>0</v>
      </c>
      <c r="X41" s="25">
        <f>IF(OR('Men''s Epée'!$A$3=1,P41&gt;0),ABS(P41),0)</f>
        <v>0</v>
      </c>
      <c r="Y41" s="25">
        <f>IF(OR('Men''s Epée'!$A$3=1,Q41&gt;0),ABS(Q41),0)</f>
        <v>0</v>
      </c>
      <c r="AA41" s="12">
        <f>IF('Men''s Epée'!$S$3=TRUE,I41,0)</f>
        <v>0</v>
      </c>
      <c r="AB41" s="12">
        <f>IF('Men''s Epée'!$T$3=TRUE,K41,0)</f>
        <v>245</v>
      </c>
      <c r="AC41" s="12">
        <f>IF('Men''s Epée'!$U$3=TRUE,M41,0)</f>
        <v>0</v>
      </c>
      <c r="AD41" s="26">
        <f t="shared" si="18"/>
        <v>0</v>
      </c>
      <c r="AE41" s="26">
        <f t="shared" si="18"/>
        <v>0</v>
      </c>
      <c r="AF41" s="26">
        <f t="shared" si="18"/>
        <v>0</v>
      </c>
      <c r="AG41" s="26">
        <f t="shared" si="18"/>
        <v>0</v>
      </c>
      <c r="AH41" s="12">
        <f t="shared" si="6"/>
        <v>245</v>
      </c>
    </row>
    <row r="42" spans="1:34" ht="13.5">
      <c r="A42" s="16" t="str">
        <f t="shared" si="4"/>
        <v>39</v>
      </c>
      <c r="B42" s="16" t="str">
        <f t="shared" si="19"/>
        <v>#</v>
      </c>
      <c r="C42" s="17" t="s">
        <v>349</v>
      </c>
      <c r="D42" s="18">
        <v>1985</v>
      </c>
      <c r="E42" s="19">
        <f>ROUND(F42+IF('Men''s Epée'!$A$3=1,G42,0)+LARGE($S42:$Y42,1)+LARGE($S42:$Y42,2),0)</f>
        <v>240</v>
      </c>
      <c r="F42" s="20"/>
      <c r="G42" s="21"/>
      <c r="H42" s="21" t="s">
        <v>5</v>
      </c>
      <c r="I42" s="22">
        <f>IF(OR('Men''s Epée'!$A$3=1,'Men''s Epée'!$S$3=TRUE),IF(OR(H42&gt;=49,ISNUMBER(H42)=FALSE),0,VLOOKUP(H42,PointTable,I$3,TRUE)),0)</f>
        <v>0</v>
      </c>
      <c r="J42" s="21">
        <v>40</v>
      </c>
      <c r="K42" s="22">
        <f>IF(OR('Men''s Epée'!$A$3=1,'Men''s Epée'!$T$3=TRUE),IF(OR(J42&gt;=49,ISNUMBER(J42)=FALSE),0,VLOOKUP(J42,PointTable,K$3,TRUE)),0)</f>
        <v>240</v>
      </c>
      <c r="L42" s="21" t="s">
        <v>5</v>
      </c>
      <c r="M42" s="22">
        <f>IF(OR('Men''s Epée'!$A$3=1,'Men''s Epée'!$U$3=TRUE),IF(OR(L42&gt;=49,ISNUMBER(L42)=FALSE),0,VLOOKUP(L42,PointTable,M$3,TRUE)),0)</f>
        <v>0</v>
      </c>
      <c r="N42" s="23"/>
      <c r="O42" s="23"/>
      <c r="P42" s="23"/>
      <c r="Q42" s="24"/>
      <c r="S42" s="25">
        <f t="shared" si="15"/>
        <v>0</v>
      </c>
      <c r="T42" s="25">
        <f t="shared" si="16"/>
        <v>240</v>
      </c>
      <c r="U42" s="25">
        <f t="shared" si="17"/>
        <v>0</v>
      </c>
      <c r="V42" s="25">
        <f>IF(OR('Men''s Epée'!$A$3=1,N42&gt;0),ABS(N42),0)</f>
        <v>0</v>
      </c>
      <c r="W42" s="25">
        <f>IF(OR('Men''s Epée'!$A$3=1,O42&gt;0),ABS(O42),0)</f>
        <v>0</v>
      </c>
      <c r="X42" s="25">
        <f>IF(OR('Men''s Epée'!$A$3=1,P42&gt;0),ABS(P42),0)</f>
        <v>0</v>
      </c>
      <c r="Y42" s="25">
        <f>IF(OR('Men''s Epée'!$A$3=1,Q42&gt;0),ABS(Q42),0)</f>
        <v>0</v>
      </c>
      <c r="AA42" s="12">
        <f>IF('Men''s Epée'!$S$3=TRUE,I42,0)</f>
        <v>0</v>
      </c>
      <c r="AB42" s="12">
        <f>IF('Men''s Epée'!$T$3=TRUE,K42,0)</f>
        <v>240</v>
      </c>
      <c r="AC42" s="12">
        <f>IF('Men''s Epée'!$U$3=TRUE,M42,0)</f>
        <v>0</v>
      </c>
      <c r="AD42" s="26">
        <f t="shared" si="18"/>
        <v>0</v>
      </c>
      <c r="AE42" s="26">
        <f t="shared" si="18"/>
        <v>0</v>
      </c>
      <c r="AF42" s="26">
        <f t="shared" si="18"/>
        <v>0</v>
      </c>
      <c r="AG42" s="26">
        <f t="shared" si="18"/>
        <v>0</v>
      </c>
      <c r="AH42" s="12">
        <f t="shared" si="6"/>
        <v>240</v>
      </c>
    </row>
    <row r="43" spans="1:34" ht="13.5">
      <c r="A43" s="16" t="str">
        <f t="shared" si="4"/>
        <v>40</v>
      </c>
      <c r="B43" s="16" t="str">
        <f t="shared" si="19"/>
        <v>#</v>
      </c>
      <c r="C43" s="17" t="s">
        <v>216</v>
      </c>
      <c r="D43" s="18">
        <v>1985</v>
      </c>
      <c r="E43" s="19">
        <f>ROUND(F43+IF('Men''s Epée'!$A$3=1,G43,0)+LARGE($S43:$Y43,1)+LARGE($S43:$Y43,2),0)</f>
        <v>235</v>
      </c>
      <c r="F43" s="20"/>
      <c r="G43" s="21"/>
      <c r="H43" s="21" t="s">
        <v>5</v>
      </c>
      <c r="I43" s="22">
        <f>IF(OR('Men''s Epée'!$A$3=1,'Men''s Epée'!$S$3=TRUE),IF(OR(H43&gt;=49,ISNUMBER(H43)=FALSE),0,VLOOKUP(H43,PointTable,I$3,TRUE)),0)</f>
        <v>0</v>
      </c>
      <c r="J43" s="21">
        <v>41</v>
      </c>
      <c r="K43" s="22">
        <f>IF(OR('Men''s Epée'!$A$3=1,'Men''s Epée'!$T$3=TRUE),IF(OR(J43&gt;=49,ISNUMBER(J43)=FALSE),0,VLOOKUP(J43,PointTable,K$3,TRUE)),0)</f>
        <v>235</v>
      </c>
      <c r="L43" s="21" t="s">
        <v>5</v>
      </c>
      <c r="M43" s="22">
        <f>IF(OR('Men''s Epée'!$A$3=1,'Men''s Epée'!$U$3=TRUE),IF(OR(L43&gt;=49,ISNUMBER(L43)=FALSE),0,VLOOKUP(L43,PointTable,M$3,TRUE)),0)</f>
        <v>0</v>
      </c>
      <c r="N43" s="23"/>
      <c r="O43" s="23"/>
      <c r="P43" s="23"/>
      <c r="Q43" s="24"/>
      <c r="S43" s="25">
        <f t="shared" si="15"/>
        <v>0</v>
      </c>
      <c r="T43" s="25">
        <f t="shared" si="16"/>
        <v>235</v>
      </c>
      <c r="U43" s="25">
        <f t="shared" si="17"/>
        <v>0</v>
      </c>
      <c r="V43" s="25">
        <f>IF(OR('Men''s Epée'!$A$3=1,N43&gt;0),ABS(N43),0)</f>
        <v>0</v>
      </c>
      <c r="W43" s="25">
        <f>IF(OR('Men''s Epée'!$A$3=1,O43&gt;0),ABS(O43),0)</f>
        <v>0</v>
      </c>
      <c r="X43" s="25">
        <f>IF(OR('Men''s Epée'!$A$3=1,P43&gt;0),ABS(P43),0)</f>
        <v>0</v>
      </c>
      <c r="Y43" s="25">
        <f>IF(OR('Men''s Epée'!$A$3=1,Q43&gt;0),ABS(Q43),0)</f>
        <v>0</v>
      </c>
      <c r="AA43" s="12">
        <f>IF('Men''s Epée'!$S$3=TRUE,I43,0)</f>
        <v>0</v>
      </c>
      <c r="AB43" s="12">
        <f>IF('Men''s Epée'!$T$3=TRUE,K43,0)</f>
        <v>235</v>
      </c>
      <c r="AC43" s="12">
        <f>IF('Men''s Epée'!$U$3=TRUE,M43,0)</f>
        <v>0</v>
      </c>
      <c r="AD43" s="26">
        <f aca="true" t="shared" si="20" ref="AD43:AG47">MAX(N43,0)</f>
        <v>0</v>
      </c>
      <c r="AE43" s="26">
        <f t="shared" si="20"/>
        <v>0</v>
      </c>
      <c r="AF43" s="26">
        <f t="shared" si="20"/>
        <v>0</v>
      </c>
      <c r="AG43" s="26">
        <f t="shared" si="20"/>
        <v>0</v>
      </c>
      <c r="AH43" s="12">
        <f t="shared" si="6"/>
        <v>235</v>
      </c>
    </row>
    <row r="44" spans="1:34" ht="13.5">
      <c r="A44" s="16" t="str">
        <f t="shared" si="4"/>
        <v>41</v>
      </c>
      <c r="B44" s="16" t="str">
        <f t="shared" si="19"/>
        <v>#</v>
      </c>
      <c r="C44" s="17" t="s">
        <v>351</v>
      </c>
      <c r="D44" s="18">
        <v>1983</v>
      </c>
      <c r="E44" s="19">
        <f>ROUND(F44+IF('Men''s Epée'!$A$3=1,G44,0)+LARGE($S44:$Y44,1)+LARGE($S44:$Y44,2),0)</f>
        <v>230</v>
      </c>
      <c r="F44" s="20"/>
      <c r="G44" s="21"/>
      <c r="H44" s="21" t="s">
        <v>5</v>
      </c>
      <c r="I44" s="22">
        <f>IF(OR('Men''s Epée'!$A$3=1,'Men''s Epée'!$S$3=TRUE),IF(OR(H44&gt;=49,ISNUMBER(H44)=FALSE),0,VLOOKUP(H44,PointTable,I$3,TRUE)),0)</f>
        <v>0</v>
      </c>
      <c r="J44" s="21">
        <v>42</v>
      </c>
      <c r="K44" s="22">
        <f>IF(OR('Men''s Epée'!$A$3=1,'Men''s Epée'!$T$3=TRUE),IF(OR(J44&gt;=49,ISNUMBER(J44)=FALSE),0,VLOOKUP(J44,PointTable,K$3,TRUE)),0)</f>
        <v>230</v>
      </c>
      <c r="L44" s="21" t="s">
        <v>5</v>
      </c>
      <c r="M44" s="22">
        <f>IF(OR('Men''s Epée'!$A$3=1,'Men''s Epée'!$U$3=TRUE),IF(OR(L44&gt;=49,ISNUMBER(L44)=FALSE),0,VLOOKUP(L44,PointTable,M$3,TRUE)),0)</f>
        <v>0</v>
      </c>
      <c r="N44" s="23"/>
      <c r="O44" s="23"/>
      <c r="P44" s="23"/>
      <c r="Q44" s="24"/>
      <c r="S44" s="25">
        <f t="shared" si="15"/>
        <v>0</v>
      </c>
      <c r="T44" s="25">
        <f t="shared" si="16"/>
        <v>230</v>
      </c>
      <c r="U44" s="25">
        <f t="shared" si="17"/>
        <v>0</v>
      </c>
      <c r="V44" s="25">
        <f>IF(OR('Men''s Epée'!$A$3=1,N44&gt;0),ABS(N44),0)</f>
        <v>0</v>
      </c>
      <c r="W44" s="25">
        <f>IF(OR('Men''s Epée'!$A$3=1,O44&gt;0),ABS(O44),0)</f>
        <v>0</v>
      </c>
      <c r="X44" s="25">
        <f>IF(OR('Men''s Epée'!$A$3=1,P44&gt;0),ABS(P44),0)</f>
        <v>0</v>
      </c>
      <c r="Y44" s="25">
        <f>IF(OR('Men''s Epée'!$A$3=1,Q44&gt;0),ABS(Q44),0)</f>
        <v>0</v>
      </c>
      <c r="AA44" s="12">
        <f>IF('Men''s Epée'!$S$3=TRUE,I44,0)</f>
        <v>0</v>
      </c>
      <c r="AB44" s="12">
        <f>IF('Men''s Epée'!$T$3=TRUE,K44,0)</f>
        <v>230</v>
      </c>
      <c r="AC44" s="12">
        <f>IF('Men''s Epée'!$U$3=TRUE,M44,0)</f>
        <v>0</v>
      </c>
      <c r="AD44" s="26">
        <f t="shared" si="20"/>
        <v>0</v>
      </c>
      <c r="AE44" s="26">
        <f t="shared" si="20"/>
        <v>0</v>
      </c>
      <c r="AF44" s="26">
        <f t="shared" si="20"/>
        <v>0</v>
      </c>
      <c r="AG44" s="26">
        <f t="shared" si="20"/>
        <v>0</v>
      </c>
      <c r="AH44" s="12">
        <f t="shared" si="6"/>
        <v>230</v>
      </c>
    </row>
    <row r="45" spans="1:34" ht="13.5">
      <c r="A45" s="16" t="str">
        <f t="shared" si="4"/>
        <v>42</v>
      </c>
      <c r="B45" s="16" t="str">
        <f t="shared" si="19"/>
        <v>#</v>
      </c>
      <c r="C45" s="17" t="s">
        <v>350</v>
      </c>
      <c r="D45" s="18">
        <v>1986</v>
      </c>
      <c r="E45" s="19">
        <f>ROUND(F45+IF('Men''s Epée'!$A$3=1,G45,0)+LARGE($S45:$Y45,1)+LARGE($S45:$Y45,2),0)</f>
        <v>220</v>
      </c>
      <c r="F45" s="20"/>
      <c r="G45" s="21"/>
      <c r="H45" s="21" t="s">
        <v>5</v>
      </c>
      <c r="I45" s="22">
        <f>IF(OR('Men''s Epée'!$A$3=1,'Men''s Epée'!$S$3=TRUE),IF(OR(H45&gt;=49,ISNUMBER(H45)=FALSE),0,VLOOKUP(H45,PointTable,I$3,TRUE)),0)</f>
        <v>0</v>
      </c>
      <c r="J45" s="21">
        <v>44</v>
      </c>
      <c r="K45" s="22">
        <f>IF(OR('Men''s Epée'!$A$3=1,'Men''s Epée'!$T$3=TRUE),IF(OR(J45&gt;=49,ISNUMBER(J45)=FALSE),0,VLOOKUP(J45,PointTable,K$3,TRUE)),0)</f>
        <v>220</v>
      </c>
      <c r="L45" s="21" t="s">
        <v>5</v>
      </c>
      <c r="M45" s="22">
        <f>IF(OR('Men''s Epée'!$A$3=1,'Men''s Epée'!$U$3=TRUE),IF(OR(L45&gt;=49,ISNUMBER(L45)=FALSE),0,VLOOKUP(L45,PointTable,M$3,TRUE)),0)</f>
        <v>0</v>
      </c>
      <c r="N45" s="23"/>
      <c r="O45" s="23"/>
      <c r="P45" s="23"/>
      <c r="Q45" s="24"/>
      <c r="S45" s="25">
        <f t="shared" si="15"/>
        <v>0</v>
      </c>
      <c r="T45" s="25">
        <f t="shared" si="16"/>
        <v>220</v>
      </c>
      <c r="U45" s="25">
        <f t="shared" si="17"/>
        <v>0</v>
      </c>
      <c r="V45" s="25">
        <f>IF(OR('Men''s Epée'!$A$3=1,N45&gt;0),ABS(N45),0)</f>
        <v>0</v>
      </c>
      <c r="W45" s="25">
        <f>IF(OR('Men''s Epée'!$A$3=1,O45&gt;0),ABS(O45),0)</f>
        <v>0</v>
      </c>
      <c r="X45" s="25">
        <f>IF(OR('Men''s Epée'!$A$3=1,P45&gt;0),ABS(P45),0)</f>
        <v>0</v>
      </c>
      <c r="Y45" s="25">
        <f>IF(OR('Men''s Epée'!$A$3=1,Q45&gt;0),ABS(Q45),0)</f>
        <v>0</v>
      </c>
      <c r="AA45" s="12">
        <f>IF('Men''s Epée'!$S$3=TRUE,I45,0)</f>
        <v>0</v>
      </c>
      <c r="AB45" s="12">
        <f>IF('Men''s Epée'!$T$3=TRUE,K45,0)</f>
        <v>220</v>
      </c>
      <c r="AC45" s="12">
        <f>IF('Men''s Epée'!$U$3=TRUE,M45,0)</f>
        <v>0</v>
      </c>
      <c r="AD45" s="26">
        <f t="shared" si="20"/>
        <v>0</v>
      </c>
      <c r="AE45" s="26">
        <f t="shared" si="20"/>
        <v>0</v>
      </c>
      <c r="AF45" s="26">
        <f t="shared" si="20"/>
        <v>0</v>
      </c>
      <c r="AG45" s="26">
        <f t="shared" si="20"/>
        <v>0</v>
      </c>
      <c r="AH45" s="12">
        <f t="shared" si="6"/>
        <v>220</v>
      </c>
    </row>
    <row r="46" spans="1:34" ht="13.5">
      <c r="A46" s="16" t="str">
        <f t="shared" si="4"/>
        <v>43</v>
      </c>
      <c r="B46" s="16">
        <f t="shared" si="19"/>
      </c>
      <c r="C46" s="17" t="s">
        <v>88</v>
      </c>
      <c r="D46" s="18">
        <v>1958</v>
      </c>
      <c r="E46" s="19">
        <f>ROUND(F46+IF('Men''s Epée'!$A$3=1,G46,0)+LARGE($S46:$Y46,1)+LARGE($S46:$Y46,2),0)</f>
        <v>215</v>
      </c>
      <c r="F46" s="20"/>
      <c r="G46" s="21"/>
      <c r="H46" s="21" t="s">
        <v>5</v>
      </c>
      <c r="I46" s="22">
        <f>IF(OR('Men''s Epée'!$A$3=1,'Men''s Epée'!$S$3=TRUE),IF(OR(H46&gt;=49,ISNUMBER(H46)=FALSE),0,VLOOKUP(H46,PointTable,I$3,TRUE)),0)</f>
        <v>0</v>
      </c>
      <c r="J46" s="21">
        <v>45</v>
      </c>
      <c r="K46" s="22">
        <f>IF(OR('Men''s Epée'!$A$3=1,'Men''s Epée'!$T$3=TRUE),IF(OR(J46&gt;=49,ISNUMBER(J46)=FALSE),0,VLOOKUP(J46,PointTable,K$3,TRUE)),0)</f>
        <v>215</v>
      </c>
      <c r="L46" s="21" t="s">
        <v>5</v>
      </c>
      <c r="M46" s="22">
        <f>IF(OR('Men''s Epée'!$A$3=1,'Men''s Epée'!$U$3=TRUE),IF(OR(L46&gt;=49,ISNUMBER(L46)=FALSE),0,VLOOKUP(L46,PointTable,M$3,TRUE)),0)</f>
        <v>0</v>
      </c>
      <c r="N46" s="23"/>
      <c r="O46" s="23"/>
      <c r="P46" s="23"/>
      <c r="Q46" s="24"/>
      <c r="S46" s="25">
        <f t="shared" si="15"/>
        <v>0</v>
      </c>
      <c r="T46" s="25">
        <f t="shared" si="16"/>
        <v>215</v>
      </c>
      <c r="U46" s="25">
        <f t="shared" si="17"/>
        <v>0</v>
      </c>
      <c r="V46" s="25">
        <f>IF(OR('Men''s Epée'!$A$3=1,N46&gt;0),ABS(N46),0)</f>
        <v>0</v>
      </c>
      <c r="W46" s="25">
        <f>IF(OR('Men''s Epée'!$A$3=1,O46&gt;0),ABS(O46),0)</f>
        <v>0</v>
      </c>
      <c r="X46" s="25">
        <f>IF(OR('Men''s Epée'!$A$3=1,P46&gt;0),ABS(P46),0)</f>
        <v>0</v>
      </c>
      <c r="Y46" s="25">
        <f>IF(OR('Men''s Epée'!$A$3=1,Q46&gt;0),ABS(Q46),0)</f>
        <v>0</v>
      </c>
      <c r="AA46" s="12">
        <f>IF('Men''s Epée'!$S$3=TRUE,I46,0)</f>
        <v>0</v>
      </c>
      <c r="AB46" s="12">
        <f>IF('Men''s Epée'!$T$3=TRUE,K46,0)</f>
        <v>215</v>
      </c>
      <c r="AC46" s="12">
        <f>IF('Men''s Epée'!$U$3=TRUE,M46,0)</f>
        <v>0</v>
      </c>
      <c r="AD46" s="26">
        <f t="shared" si="20"/>
        <v>0</v>
      </c>
      <c r="AE46" s="26">
        <f t="shared" si="20"/>
        <v>0</v>
      </c>
      <c r="AF46" s="26">
        <f t="shared" si="20"/>
        <v>0</v>
      </c>
      <c r="AG46" s="26">
        <f t="shared" si="20"/>
        <v>0</v>
      </c>
      <c r="AH46" s="12">
        <f t="shared" si="6"/>
        <v>215</v>
      </c>
    </row>
    <row r="47" spans="1:34" ht="13.5">
      <c r="A47" s="16" t="str">
        <f t="shared" si="4"/>
        <v>44</v>
      </c>
      <c r="B47" s="16">
        <f t="shared" si="19"/>
      </c>
      <c r="C47" s="17" t="s">
        <v>90</v>
      </c>
      <c r="D47" s="18">
        <v>1951</v>
      </c>
      <c r="E47" s="19">
        <f>ROUND(F47+IF('Men''s Epée'!$A$3=1,G47,0)+LARGE($S47:$Y47,1)+LARGE($S47:$Y47,2),0)</f>
        <v>210</v>
      </c>
      <c r="F47" s="20"/>
      <c r="G47" s="21"/>
      <c r="H47" s="21" t="s">
        <v>5</v>
      </c>
      <c r="I47" s="22">
        <f>IF(OR('Men''s Epée'!$A$3=1,'Men''s Epée'!$S$3=TRUE),IF(OR(H47&gt;=49,ISNUMBER(H47)=FALSE),0,VLOOKUP(H47,PointTable,I$3,TRUE)),0)</f>
        <v>0</v>
      </c>
      <c r="J47" s="21">
        <v>46</v>
      </c>
      <c r="K47" s="22">
        <f>IF(OR('Men''s Epée'!$A$3=1,'Men''s Epée'!$T$3=TRUE),IF(OR(J47&gt;=49,ISNUMBER(J47)=FALSE),0,VLOOKUP(J47,PointTable,K$3,TRUE)),0)</f>
        <v>210</v>
      </c>
      <c r="L47" s="21" t="s">
        <v>5</v>
      </c>
      <c r="M47" s="22">
        <f>IF(OR('Men''s Epée'!$A$3=1,'Men''s Epée'!$U$3=TRUE),IF(OR(L47&gt;=49,ISNUMBER(L47)=FALSE),0,VLOOKUP(L47,PointTable,M$3,TRUE)),0)</f>
        <v>0</v>
      </c>
      <c r="N47" s="23"/>
      <c r="O47" s="23"/>
      <c r="P47" s="23"/>
      <c r="Q47" s="24"/>
      <c r="S47" s="25">
        <f t="shared" si="15"/>
        <v>0</v>
      </c>
      <c r="T47" s="25">
        <f t="shared" si="16"/>
        <v>210</v>
      </c>
      <c r="U47" s="25">
        <f t="shared" si="17"/>
        <v>0</v>
      </c>
      <c r="V47" s="25">
        <f>IF(OR('Men''s Epée'!$A$3=1,N47&gt;0),ABS(N47),0)</f>
        <v>0</v>
      </c>
      <c r="W47" s="25">
        <f>IF(OR('Men''s Epée'!$A$3=1,O47&gt;0),ABS(O47),0)</f>
        <v>0</v>
      </c>
      <c r="X47" s="25">
        <f>IF(OR('Men''s Epée'!$A$3=1,P47&gt;0),ABS(P47),0)</f>
        <v>0</v>
      </c>
      <c r="Y47" s="25">
        <f>IF(OR('Men''s Epée'!$A$3=1,Q47&gt;0),ABS(Q47),0)</f>
        <v>0</v>
      </c>
      <c r="AA47" s="12">
        <f>IF('Men''s Epée'!$S$3=TRUE,I47,0)</f>
        <v>0</v>
      </c>
      <c r="AB47" s="12">
        <f>IF('Men''s Epée'!$T$3=TRUE,K47,0)</f>
        <v>210</v>
      </c>
      <c r="AC47" s="12">
        <f>IF('Men''s Epée'!$U$3=TRUE,M47,0)</f>
        <v>0</v>
      </c>
      <c r="AD47" s="26">
        <f t="shared" si="20"/>
        <v>0</v>
      </c>
      <c r="AE47" s="26">
        <f t="shared" si="20"/>
        <v>0</v>
      </c>
      <c r="AF47" s="26">
        <f t="shared" si="20"/>
        <v>0</v>
      </c>
      <c r="AG47" s="26">
        <f t="shared" si="20"/>
        <v>0</v>
      </c>
      <c r="AH47" s="12">
        <f t="shared" si="6"/>
        <v>210</v>
      </c>
    </row>
    <row r="48" spans="27:34" ht="13.5">
      <c r="AA48" s="12"/>
      <c r="AB48" s="12"/>
      <c r="AC48" s="12"/>
      <c r="AD48" s="12"/>
      <c r="AE48" s="12"/>
      <c r="AF48" s="12"/>
      <c r="AG48" s="12"/>
      <c r="AH48" s="12"/>
    </row>
    <row r="49" spans="3:34" ht="13.5">
      <c r="C49" s="30" t="s">
        <v>18</v>
      </c>
      <c r="F49" s="25"/>
      <c r="G49" s="25"/>
      <c r="H49" s="25"/>
      <c r="I49" s="25"/>
      <c r="L49" s="31" t="s">
        <v>19</v>
      </c>
      <c r="M49" s="31" t="s">
        <v>20</v>
      </c>
      <c r="N49" s="25"/>
      <c r="AA49" s="12"/>
      <c r="AB49" s="12"/>
      <c r="AC49" s="12"/>
      <c r="AD49" s="12"/>
      <c r="AE49" s="12"/>
      <c r="AF49" s="12"/>
      <c r="AG49" s="12"/>
      <c r="AH49" s="12"/>
    </row>
    <row r="50" spans="3:34" ht="13.5">
      <c r="C50" s="37" t="s">
        <v>215</v>
      </c>
      <c r="D50" s="18" t="s">
        <v>391</v>
      </c>
      <c r="E50" s="43"/>
      <c r="F50" s="25"/>
      <c r="G50" s="25"/>
      <c r="H50" s="25"/>
      <c r="I50" s="25"/>
      <c r="J50" s="25"/>
      <c r="L50" s="32">
        <v>11</v>
      </c>
      <c r="M50" s="18">
        <v>1260</v>
      </c>
      <c r="N50" s="25"/>
      <c r="AA50" s="12"/>
      <c r="AB50" s="12"/>
      <c r="AC50" s="12"/>
      <c r="AD50" s="12"/>
      <c r="AE50" s="12"/>
      <c r="AF50" s="12"/>
      <c r="AG50" s="12"/>
      <c r="AH50" s="12"/>
    </row>
    <row r="51" spans="3:34" ht="13.5">
      <c r="C51" s="37" t="s">
        <v>144</v>
      </c>
      <c r="D51" s="18" t="s">
        <v>391</v>
      </c>
      <c r="E51" s="43"/>
      <c r="F51" s="25"/>
      <c r="G51" s="25"/>
      <c r="H51" s="25"/>
      <c r="I51" s="25"/>
      <c r="J51" s="25"/>
      <c r="L51" s="32">
        <v>10</v>
      </c>
      <c r="M51" s="18">
        <v>1272</v>
      </c>
      <c r="N51" s="25"/>
      <c r="AA51" s="12"/>
      <c r="AB51" s="12"/>
      <c r="AC51" s="12"/>
      <c r="AD51" s="12"/>
      <c r="AE51" s="12"/>
      <c r="AF51" s="12"/>
      <c r="AG51" s="12"/>
      <c r="AH51" s="12"/>
    </row>
    <row r="52" spans="3:34" ht="13.5">
      <c r="C52" s="37" t="s">
        <v>63</v>
      </c>
      <c r="D52" s="18" t="s">
        <v>355</v>
      </c>
      <c r="L52" s="32">
        <v>1</v>
      </c>
      <c r="M52" s="33">
        <v>67.2</v>
      </c>
      <c r="N52" s="34"/>
      <c r="AA52" s="12"/>
      <c r="AB52" s="12"/>
      <c r="AC52" s="12"/>
      <c r="AD52" s="12"/>
      <c r="AE52" s="12"/>
      <c r="AF52" s="12"/>
      <c r="AG52" s="12"/>
      <c r="AH52" s="12"/>
    </row>
    <row r="53" spans="3:34" ht="13.5">
      <c r="C53" s="37" t="s">
        <v>63</v>
      </c>
      <c r="D53" s="18" t="s">
        <v>354</v>
      </c>
      <c r="L53" s="32">
        <v>1</v>
      </c>
      <c r="M53" s="33">
        <v>91.2</v>
      </c>
      <c r="N53" s="34"/>
      <c r="AA53" s="12"/>
      <c r="AB53" s="12"/>
      <c r="AC53" s="12"/>
      <c r="AD53" s="12"/>
      <c r="AE53" s="12"/>
      <c r="AF53" s="12"/>
      <c r="AG53" s="12"/>
      <c r="AH53" s="12"/>
    </row>
    <row r="54" spans="3:34" ht="13.5">
      <c r="C54" s="37" t="s">
        <v>84</v>
      </c>
      <c r="D54" s="18" t="s">
        <v>391</v>
      </c>
      <c r="E54" s="43"/>
      <c r="F54" s="25"/>
      <c r="G54" s="25"/>
      <c r="H54" s="25"/>
      <c r="I54" s="25"/>
      <c r="J54" s="25"/>
      <c r="L54" s="32">
        <v>47</v>
      </c>
      <c r="M54" s="18">
        <v>208</v>
      </c>
      <c r="N54" s="34"/>
      <c r="AA54" s="12"/>
      <c r="AB54" s="12"/>
      <c r="AC54" s="12"/>
      <c r="AD54" s="12"/>
      <c r="AE54" s="12"/>
      <c r="AF54" s="12"/>
      <c r="AG54" s="12"/>
      <c r="AH54" s="12"/>
    </row>
    <row r="55" spans="14:34" ht="13.5">
      <c r="N55" s="28"/>
      <c r="AA55" s="12"/>
      <c r="AB55" s="12"/>
      <c r="AC55" s="12"/>
      <c r="AD55" s="12"/>
      <c r="AE55" s="12"/>
      <c r="AF55" s="12"/>
      <c r="AG55" s="12"/>
      <c r="AH55" s="12"/>
    </row>
    <row r="56" spans="3:34" ht="13.5">
      <c r="C56" s="30" t="s">
        <v>21</v>
      </c>
      <c r="F56" s="25"/>
      <c r="G56" s="25"/>
      <c r="H56" s="25"/>
      <c r="I56" s="25"/>
      <c r="L56" s="31" t="s">
        <v>19</v>
      </c>
      <c r="M56" s="31" t="s">
        <v>20</v>
      </c>
      <c r="N56" s="28"/>
      <c r="AA56" s="12"/>
      <c r="AB56" s="12"/>
      <c r="AC56" s="12"/>
      <c r="AD56" s="12"/>
      <c r="AE56" s="12"/>
      <c r="AF56" s="12"/>
      <c r="AG56" s="12"/>
      <c r="AH56" s="12"/>
    </row>
    <row r="57" spans="1:34" ht="13.5">
      <c r="A57" s="43"/>
      <c r="B57" s="44"/>
      <c r="C57" s="37" t="s">
        <v>85</v>
      </c>
      <c r="D57" s="18" t="s">
        <v>372</v>
      </c>
      <c r="E57" s="43"/>
      <c r="F57" s="25"/>
      <c r="G57" s="25"/>
      <c r="H57" s="25"/>
      <c r="I57" s="25"/>
      <c r="J57" s="25"/>
      <c r="L57" s="32">
        <v>7</v>
      </c>
      <c r="M57" s="18">
        <v>1656</v>
      </c>
      <c r="N57" s="34"/>
      <c r="AA57" s="12"/>
      <c r="AB57" s="12"/>
      <c r="AC57" s="12"/>
      <c r="AD57" s="12"/>
      <c r="AE57" s="12"/>
      <c r="AF57" s="12"/>
      <c r="AG57" s="12"/>
      <c r="AH57" s="12"/>
    </row>
    <row r="58" spans="1:34" ht="13.5">
      <c r="A58" s="43"/>
      <c r="B58" s="44"/>
      <c r="C58" s="37" t="s">
        <v>85</v>
      </c>
      <c r="D58" s="18" t="s">
        <v>398</v>
      </c>
      <c r="E58" s="43"/>
      <c r="F58" s="25"/>
      <c r="G58" s="25"/>
      <c r="H58" s="25"/>
      <c r="I58" s="25"/>
      <c r="L58" s="32">
        <v>23</v>
      </c>
      <c r="M58" s="33">
        <v>758.4</v>
      </c>
      <c r="N58" s="34"/>
      <c r="AA58" s="12"/>
      <c r="AB58" s="12"/>
      <c r="AC58" s="12"/>
      <c r="AD58" s="12"/>
      <c r="AE58" s="12"/>
      <c r="AF58" s="12"/>
      <c r="AG58" s="12"/>
      <c r="AH58" s="12"/>
    </row>
    <row r="59" spans="1:34" ht="13.5">
      <c r="A59" s="43"/>
      <c r="B59" s="44"/>
      <c r="C59" s="37" t="s">
        <v>85</v>
      </c>
      <c r="D59" s="18" t="s">
        <v>408</v>
      </c>
      <c r="E59" s="43"/>
      <c r="F59" s="25"/>
      <c r="G59" s="25"/>
      <c r="H59" s="25"/>
      <c r="I59" s="25"/>
      <c r="J59" s="25"/>
      <c r="L59" s="32">
        <v>8</v>
      </c>
      <c r="M59" s="18">
        <v>1644</v>
      </c>
      <c r="N59" s="34"/>
      <c r="AA59" s="12"/>
      <c r="AB59" s="12"/>
      <c r="AC59" s="12"/>
      <c r="AD59" s="12"/>
      <c r="AE59" s="12"/>
      <c r="AF59" s="12"/>
      <c r="AG59" s="12"/>
      <c r="AH59" s="12"/>
    </row>
    <row r="60" spans="1:34" ht="13.5">
      <c r="A60" s="43"/>
      <c r="B60" s="44"/>
      <c r="C60" s="40" t="s">
        <v>85</v>
      </c>
      <c r="D60" s="37" t="s">
        <v>419</v>
      </c>
      <c r="E60" s="45"/>
      <c r="K60" s="46"/>
      <c r="L60" s="47">
        <v>7</v>
      </c>
      <c r="M60" s="48">
        <v>1121.94</v>
      </c>
      <c r="N60" s="49"/>
      <c r="AA60" s="12"/>
      <c r="AB60" s="12"/>
      <c r="AC60" s="12"/>
      <c r="AD60" s="12"/>
      <c r="AE60" s="12"/>
      <c r="AF60" s="12"/>
      <c r="AG60" s="12"/>
      <c r="AH60" s="12"/>
    </row>
    <row r="61" spans="1:34" ht="13.5">
      <c r="A61" s="43"/>
      <c r="B61" s="44"/>
      <c r="C61" s="37" t="s">
        <v>93</v>
      </c>
      <c r="D61" s="18" t="s">
        <v>398</v>
      </c>
      <c r="E61" s="43"/>
      <c r="F61" s="25"/>
      <c r="G61" s="25"/>
      <c r="H61" s="25"/>
      <c r="I61" s="25"/>
      <c r="L61" s="32">
        <v>26</v>
      </c>
      <c r="M61" s="33">
        <v>683.35</v>
      </c>
      <c r="N61" s="34"/>
      <c r="AA61" s="12"/>
      <c r="AB61" s="12"/>
      <c r="AC61" s="12"/>
      <c r="AD61" s="12"/>
      <c r="AE61" s="12"/>
      <c r="AF61" s="12"/>
      <c r="AG61" s="12"/>
      <c r="AH61" s="12"/>
    </row>
    <row r="62" spans="1:34" ht="13.5">
      <c r="A62" s="43"/>
      <c r="B62" s="44"/>
      <c r="C62" s="37" t="s">
        <v>93</v>
      </c>
      <c r="D62" s="18" t="s">
        <v>408</v>
      </c>
      <c r="E62" s="43"/>
      <c r="F62" s="25"/>
      <c r="G62" s="25"/>
      <c r="H62" s="25"/>
      <c r="I62" s="25"/>
      <c r="J62" s="25"/>
      <c r="L62" s="32">
        <v>50</v>
      </c>
      <c r="M62" s="18">
        <v>184</v>
      </c>
      <c r="N62" s="34"/>
      <c r="AA62" s="12"/>
      <c r="AB62" s="12"/>
      <c r="AC62" s="12"/>
      <c r="AD62" s="12"/>
      <c r="AE62" s="12"/>
      <c r="AF62" s="12"/>
      <c r="AG62" s="12"/>
      <c r="AH62" s="12"/>
    </row>
    <row r="63" spans="1:34" ht="13.5">
      <c r="A63" s="43"/>
      <c r="B63" s="44"/>
      <c r="C63" s="40" t="s">
        <v>93</v>
      </c>
      <c r="D63" s="37" t="s">
        <v>419</v>
      </c>
      <c r="E63" s="45"/>
      <c r="K63" s="46"/>
      <c r="L63" s="47">
        <v>29</v>
      </c>
      <c r="M63" s="48">
        <v>452.57</v>
      </c>
      <c r="N63" s="49"/>
      <c r="AA63" s="12"/>
      <c r="AB63" s="12"/>
      <c r="AC63" s="12"/>
      <c r="AD63" s="12"/>
      <c r="AE63" s="12"/>
      <c r="AF63" s="12"/>
      <c r="AG63" s="12"/>
      <c r="AH63" s="12"/>
    </row>
    <row r="64" spans="1:34" ht="13.5">
      <c r="A64" s="43"/>
      <c r="B64" s="44"/>
      <c r="C64" s="37" t="s">
        <v>164</v>
      </c>
      <c r="D64" s="18" t="s">
        <v>361</v>
      </c>
      <c r="E64" s="43"/>
      <c r="F64" s="25"/>
      <c r="G64" s="25"/>
      <c r="H64" s="25"/>
      <c r="I64" s="25"/>
      <c r="L64" s="32">
        <v>16</v>
      </c>
      <c r="M64" s="18">
        <v>1200</v>
      </c>
      <c r="N64" s="34"/>
      <c r="AA64" s="12"/>
      <c r="AB64" s="12"/>
      <c r="AC64" s="12"/>
      <c r="AD64" s="12"/>
      <c r="AE64" s="12"/>
      <c r="AF64" s="12"/>
      <c r="AG64" s="12"/>
      <c r="AH64" s="12"/>
    </row>
    <row r="65" spans="1:34" ht="13.5">
      <c r="A65" s="43"/>
      <c r="B65" s="44"/>
      <c r="C65" s="37" t="s">
        <v>164</v>
      </c>
      <c r="D65" s="18" t="s">
        <v>372</v>
      </c>
      <c r="E65" s="43"/>
      <c r="F65" s="25"/>
      <c r="G65" s="25"/>
      <c r="H65" s="25"/>
      <c r="I65" s="25"/>
      <c r="J65" s="25"/>
      <c r="L65" s="32">
        <v>39</v>
      </c>
      <c r="M65" s="18">
        <v>272</v>
      </c>
      <c r="N65" s="34"/>
      <c r="AA65" s="12"/>
      <c r="AB65" s="12"/>
      <c r="AC65" s="12"/>
      <c r="AD65" s="12"/>
      <c r="AE65" s="12"/>
      <c r="AF65" s="12"/>
      <c r="AG65" s="12"/>
      <c r="AH65" s="12"/>
    </row>
    <row r="66" spans="1:34" ht="13.5">
      <c r="A66" s="43"/>
      <c r="B66" s="44"/>
      <c r="C66" s="37" t="s">
        <v>164</v>
      </c>
      <c r="D66" s="18" t="s">
        <v>398</v>
      </c>
      <c r="E66" s="43"/>
      <c r="F66" s="25"/>
      <c r="G66" s="25"/>
      <c r="H66" s="25"/>
      <c r="I66" s="25"/>
      <c r="L66" s="32">
        <v>31</v>
      </c>
      <c r="M66" s="33">
        <v>643.85</v>
      </c>
      <c r="N66" s="34"/>
      <c r="AA66" s="12"/>
      <c r="AB66" s="12"/>
      <c r="AC66" s="12"/>
      <c r="AD66" s="12"/>
      <c r="AE66" s="12"/>
      <c r="AF66" s="12"/>
      <c r="AG66" s="12"/>
      <c r="AH66" s="12"/>
    </row>
    <row r="67" spans="1:34" ht="13.5">
      <c r="A67" s="43"/>
      <c r="B67" s="44"/>
      <c r="C67" s="37" t="s">
        <v>164</v>
      </c>
      <c r="D67" s="18" t="s">
        <v>408</v>
      </c>
      <c r="E67" s="43"/>
      <c r="F67" s="25"/>
      <c r="G67" s="25"/>
      <c r="H67" s="25"/>
      <c r="I67" s="25"/>
      <c r="J67" s="25"/>
      <c r="L67" s="32">
        <v>47</v>
      </c>
      <c r="M67" s="18">
        <v>208</v>
      </c>
      <c r="N67" s="34"/>
      <c r="AA67" s="12"/>
      <c r="AB67" s="12"/>
      <c r="AC67" s="12"/>
      <c r="AD67" s="12"/>
      <c r="AE67" s="12"/>
      <c r="AF67" s="12"/>
      <c r="AG67" s="12"/>
      <c r="AH67" s="12"/>
    </row>
    <row r="68" spans="1:34" ht="13.5">
      <c r="A68" s="43"/>
      <c r="B68" s="44"/>
      <c r="C68" s="40" t="s">
        <v>164</v>
      </c>
      <c r="D68" s="37" t="s">
        <v>419</v>
      </c>
      <c r="E68" s="45"/>
      <c r="K68" s="46"/>
      <c r="L68" s="47">
        <v>8</v>
      </c>
      <c r="M68" s="48">
        <v>1113.81</v>
      </c>
      <c r="N68" s="49"/>
      <c r="AA68" s="12"/>
      <c r="AB68" s="12"/>
      <c r="AC68" s="12"/>
      <c r="AD68" s="12"/>
      <c r="AE68" s="12"/>
      <c r="AF68" s="12"/>
      <c r="AG68" s="12"/>
      <c r="AH68" s="12"/>
    </row>
    <row r="69" spans="1:34" ht="13.5">
      <c r="A69" s="43"/>
      <c r="B69" s="44"/>
      <c r="C69" s="37" t="s">
        <v>232</v>
      </c>
      <c r="D69" s="18" t="s">
        <v>361</v>
      </c>
      <c r="E69" s="43"/>
      <c r="F69" s="25"/>
      <c r="G69" s="25"/>
      <c r="H69" s="25"/>
      <c r="I69" s="25"/>
      <c r="L69" s="32">
        <v>49</v>
      </c>
      <c r="M69" s="18">
        <v>192</v>
      </c>
      <c r="N69" s="34"/>
      <c r="AA69" s="12"/>
      <c r="AB69" s="12"/>
      <c r="AC69" s="12"/>
      <c r="AD69" s="12"/>
      <c r="AE69" s="12"/>
      <c r="AF69" s="12"/>
      <c r="AG69" s="12"/>
      <c r="AH69" s="12"/>
    </row>
    <row r="70" spans="1:34" ht="13.5">
      <c r="A70" s="43"/>
      <c r="B70" s="44"/>
      <c r="C70" s="37" t="s">
        <v>232</v>
      </c>
      <c r="D70" s="18" t="s">
        <v>372</v>
      </c>
      <c r="E70" s="43"/>
      <c r="F70" s="25"/>
      <c r="G70" s="25"/>
      <c r="H70" s="25"/>
      <c r="I70" s="25"/>
      <c r="J70" s="25"/>
      <c r="L70" s="32">
        <v>37</v>
      </c>
      <c r="M70" s="18">
        <v>288</v>
      </c>
      <c r="N70" s="34"/>
      <c r="AA70" s="12"/>
      <c r="AB70" s="12"/>
      <c r="AC70" s="12"/>
      <c r="AD70" s="12"/>
      <c r="AE70" s="12"/>
      <c r="AF70" s="12"/>
      <c r="AG70" s="12"/>
      <c r="AH70" s="12"/>
    </row>
    <row r="71" spans="1:34" ht="13.5">
      <c r="A71" s="43"/>
      <c r="B71" s="44"/>
      <c r="C71" s="37" t="s">
        <v>232</v>
      </c>
      <c r="D71" s="18" t="s">
        <v>398</v>
      </c>
      <c r="E71" s="43"/>
      <c r="F71" s="25"/>
      <c r="G71" s="25"/>
      <c r="H71" s="25"/>
      <c r="I71" s="25"/>
      <c r="L71" s="32">
        <v>21</v>
      </c>
      <c r="M71" s="33">
        <v>782.1</v>
      </c>
      <c r="N71" s="34"/>
      <c r="AA71" s="12"/>
      <c r="AB71" s="12"/>
      <c r="AC71" s="12"/>
      <c r="AD71" s="12"/>
      <c r="AE71" s="12"/>
      <c r="AF71" s="12"/>
      <c r="AG71" s="12"/>
      <c r="AH71" s="12"/>
    </row>
    <row r="72" spans="1:34" ht="13.5">
      <c r="A72" s="43"/>
      <c r="B72" s="44"/>
      <c r="C72" s="37" t="s">
        <v>232</v>
      </c>
      <c r="D72" s="18" t="s">
        <v>408</v>
      </c>
      <c r="E72" s="43"/>
      <c r="F72" s="25"/>
      <c r="G72" s="25"/>
      <c r="H72" s="25"/>
      <c r="I72" s="25"/>
      <c r="J72" s="25"/>
      <c r="L72" s="32">
        <v>46</v>
      </c>
      <c r="M72" s="18">
        <v>216</v>
      </c>
      <c r="N72" s="34"/>
      <c r="AA72" s="12"/>
      <c r="AB72" s="12"/>
      <c r="AC72" s="12"/>
      <c r="AD72" s="12"/>
      <c r="AE72" s="12"/>
      <c r="AF72" s="12"/>
      <c r="AG72" s="12"/>
      <c r="AH72" s="12"/>
    </row>
    <row r="73" spans="1:34" ht="13.5">
      <c r="A73" s="43"/>
      <c r="B73" s="44"/>
      <c r="C73" s="40" t="s">
        <v>232</v>
      </c>
      <c r="D73" s="37" t="s">
        <v>419</v>
      </c>
      <c r="E73" s="45"/>
      <c r="K73" s="46"/>
      <c r="L73" s="47">
        <v>14</v>
      </c>
      <c r="M73" s="48">
        <v>829.26</v>
      </c>
      <c r="N73" s="49"/>
      <c r="AA73" s="12"/>
      <c r="AB73" s="12"/>
      <c r="AC73" s="12"/>
      <c r="AD73" s="12"/>
      <c r="AE73" s="12"/>
      <c r="AF73" s="12"/>
      <c r="AG73" s="12"/>
      <c r="AH73" s="12"/>
    </row>
    <row r="74" spans="1:34" ht="13.5">
      <c r="A74" s="43"/>
      <c r="B74" s="44"/>
      <c r="C74" s="37" t="s">
        <v>215</v>
      </c>
      <c r="D74" s="18" t="s">
        <v>237</v>
      </c>
      <c r="E74" s="43"/>
      <c r="F74" s="25"/>
      <c r="G74" s="25"/>
      <c r="H74" s="25"/>
      <c r="I74" s="25"/>
      <c r="L74" s="32">
        <v>7</v>
      </c>
      <c r="M74" s="18">
        <v>1380</v>
      </c>
      <c r="N74" s="34"/>
      <c r="AA74" s="12"/>
      <c r="AB74" s="12"/>
      <c r="AC74" s="12"/>
      <c r="AD74" s="12"/>
      <c r="AE74" s="12"/>
      <c r="AF74" s="12"/>
      <c r="AG74" s="12"/>
      <c r="AH74" s="12"/>
    </row>
    <row r="75" spans="1:34" ht="13.5">
      <c r="A75" s="43"/>
      <c r="B75" s="44"/>
      <c r="C75" s="37" t="s">
        <v>215</v>
      </c>
      <c r="D75" s="18" t="s">
        <v>361</v>
      </c>
      <c r="E75" s="43"/>
      <c r="F75" s="25"/>
      <c r="G75" s="25"/>
      <c r="H75" s="25"/>
      <c r="I75" s="25"/>
      <c r="L75" s="32">
        <v>6</v>
      </c>
      <c r="M75" s="18">
        <v>1668</v>
      </c>
      <c r="N75" s="34"/>
      <c r="AA75" s="12"/>
      <c r="AB75" s="12"/>
      <c r="AC75" s="12"/>
      <c r="AD75" s="12"/>
      <c r="AE75" s="12"/>
      <c r="AF75" s="12"/>
      <c r="AG75" s="12"/>
      <c r="AH75" s="12"/>
    </row>
    <row r="76" spans="1:34" ht="13.5">
      <c r="A76" s="43"/>
      <c r="B76" s="44"/>
      <c r="C76" s="37" t="s">
        <v>215</v>
      </c>
      <c r="D76" s="18" t="s">
        <v>372</v>
      </c>
      <c r="E76" s="43"/>
      <c r="F76" s="25"/>
      <c r="G76" s="25"/>
      <c r="H76" s="25"/>
      <c r="I76" s="25"/>
      <c r="J76" s="25"/>
      <c r="L76" s="32">
        <v>18</v>
      </c>
      <c r="M76" s="18">
        <v>828</v>
      </c>
      <c r="N76" s="34"/>
      <c r="AA76" s="12"/>
      <c r="AB76" s="12"/>
      <c r="AC76" s="12"/>
      <c r="AD76" s="12"/>
      <c r="AE76" s="12"/>
      <c r="AF76" s="12"/>
      <c r="AG76" s="12"/>
      <c r="AH76" s="12"/>
    </row>
    <row r="77" spans="1:34" ht="13.5">
      <c r="A77" s="43"/>
      <c r="B77" s="44"/>
      <c r="C77" s="37" t="s">
        <v>215</v>
      </c>
      <c r="D77" s="18" t="s">
        <v>398</v>
      </c>
      <c r="E77" s="43"/>
      <c r="F77" s="25"/>
      <c r="G77" s="25"/>
      <c r="H77" s="25"/>
      <c r="I77" s="25"/>
      <c r="L77" s="32">
        <v>3</v>
      </c>
      <c r="M77" s="33">
        <v>2014.5</v>
      </c>
      <c r="N77" s="34"/>
      <c r="AA77" s="12"/>
      <c r="AB77" s="12"/>
      <c r="AC77" s="12"/>
      <c r="AD77" s="12"/>
      <c r="AE77" s="12"/>
      <c r="AF77" s="12"/>
      <c r="AG77" s="12"/>
      <c r="AH77" s="12"/>
    </row>
    <row r="78" spans="1:34" ht="13.5">
      <c r="A78" s="43"/>
      <c r="B78" s="44"/>
      <c r="C78" s="37" t="s">
        <v>215</v>
      </c>
      <c r="D78" s="18" t="s">
        <v>408</v>
      </c>
      <c r="E78" s="43"/>
      <c r="F78" s="25"/>
      <c r="G78" s="25"/>
      <c r="H78" s="25"/>
      <c r="I78" s="25"/>
      <c r="J78" s="25"/>
      <c r="L78" s="32">
        <v>33</v>
      </c>
      <c r="M78" s="18">
        <v>320</v>
      </c>
      <c r="N78" s="34"/>
      <c r="AA78" s="12"/>
      <c r="AB78" s="12"/>
      <c r="AC78" s="12"/>
      <c r="AD78" s="12"/>
      <c r="AE78" s="12"/>
      <c r="AF78" s="12"/>
      <c r="AG78" s="12"/>
      <c r="AH78" s="12"/>
    </row>
    <row r="79" spans="1:34" ht="13.5">
      <c r="A79" s="43"/>
      <c r="B79" s="44"/>
      <c r="C79" s="40" t="s">
        <v>215</v>
      </c>
      <c r="D79" s="37" t="s">
        <v>419</v>
      </c>
      <c r="E79" s="45"/>
      <c r="K79" s="46"/>
      <c r="L79" s="47">
        <v>17</v>
      </c>
      <c r="M79" s="48">
        <v>569.1</v>
      </c>
      <c r="N79" s="49"/>
      <c r="AA79" s="12"/>
      <c r="AB79" s="12"/>
      <c r="AC79" s="12"/>
      <c r="AD79" s="12"/>
      <c r="AE79" s="12"/>
      <c r="AF79" s="12"/>
      <c r="AG79" s="12"/>
      <c r="AH79" s="12"/>
    </row>
    <row r="80" spans="1:34" ht="13.5">
      <c r="A80" s="43"/>
      <c r="B80" s="44"/>
      <c r="C80" s="37" t="s">
        <v>144</v>
      </c>
      <c r="D80" s="18" t="s">
        <v>237</v>
      </c>
      <c r="E80" s="43"/>
      <c r="F80" s="25"/>
      <c r="G80" s="25"/>
      <c r="H80" s="25"/>
      <c r="I80" s="25"/>
      <c r="L80" s="32">
        <v>12</v>
      </c>
      <c r="M80" s="18">
        <v>1040</v>
      </c>
      <c r="N80" s="34"/>
      <c r="AA80" s="12"/>
      <c r="AB80" s="12"/>
      <c r="AC80" s="12"/>
      <c r="AD80" s="12"/>
      <c r="AE80" s="12"/>
      <c r="AF80" s="12"/>
      <c r="AG80" s="12"/>
      <c r="AH80" s="12"/>
    </row>
    <row r="81" spans="1:34" ht="13.5">
      <c r="A81" s="43"/>
      <c r="B81" s="44"/>
      <c r="C81" s="37" t="s">
        <v>144</v>
      </c>
      <c r="D81" s="18" t="s">
        <v>361</v>
      </c>
      <c r="E81" s="43"/>
      <c r="F81" s="25"/>
      <c r="G81" s="25"/>
      <c r="H81" s="25"/>
      <c r="I81" s="25"/>
      <c r="L81" s="32">
        <v>35</v>
      </c>
      <c r="M81" s="18">
        <v>304</v>
      </c>
      <c r="N81" s="34"/>
      <c r="AA81" s="12"/>
      <c r="AB81" s="12"/>
      <c r="AC81" s="12"/>
      <c r="AD81" s="12"/>
      <c r="AE81" s="12"/>
      <c r="AF81" s="12"/>
      <c r="AG81" s="12"/>
      <c r="AH81" s="12"/>
    </row>
    <row r="82" spans="1:34" ht="13.5">
      <c r="A82" s="43"/>
      <c r="B82" s="44"/>
      <c r="C82" s="37" t="s">
        <v>144</v>
      </c>
      <c r="D82" s="18" t="s">
        <v>372</v>
      </c>
      <c r="E82" s="43"/>
      <c r="F82" s="25"/>
      <c r="G82" s="25"/>
      <c r="H82" s="25"/>
      <c r="I82" s="25"/>
      <c r="J82" s="25"/>
      <c r="L82" s="32">
        <v>6</v>
      </c>
      <c r="M82" s="18">
        <v>1668</v>
      </c>
      <c r="N82" s="34"/>
      <c r="AA82" s="12"/>
      <c r="AB82" s="12"/>
      <c r="AC82" s="12"/>
      <c r="AD82" s="12"/>
      <c r="AE82" s="12"/>
      <c r="AF82" s="12"/>
      <c r="AG82" s="12"/>
      <c r="AH82" s="12"/>
    </row>
    <row r="83" spans="1:34" ht="13.5">
      <c r="A83" s="43"/>
      <c r="B83" s="44"/>
      <c r="C83" s="37" t="s">
        <v>144</v>
      </c>
      <c r="D83" s="18" t="s">
        <v>398</v>
      </c>
      <c r="E83" s="43"/>
      <c r="F83" s="25"/>
      <c r="G83" s="25"/>
      <c r="H83" s="25"/>
      <c r="I83" s="25"/>
      <c r="L83" s="32">
        <v>2</v>
      </c>
      <c r="M83" s="33">
        <v>2180.4</v>
      </c>
      <c r="N83" s="34"/>
      <c r="AA83" s="12"/>
      <c r="AB83" s="12"/>
      <c r="AC83" s="12"/>
      <c r="AD83" s="12"/>
      <c r="AE83" s="12"/>
      <c r="AF83" s="12"/>
      <c r="AG83" s="12"/>
      <c r="AH83" s="12"/>
    </row>
    <row r="84" spans="1:34" ht="13.5">
      <c r="A84" s="43"/>
      <c r="B84" s="44"/>
      <c r="C84" s="37" t="s">
        <v>144</v>
      </c>
      <c r="D84" s="18" t="s">
        <v>408</v>
      </c>
      <c r="E84" s="43"/>
      <c r="F84" s="25"/>
      <c r="G84" s="25"/>
      <c r="H84" s="25"/>
      <c r="I84" s="25"/>
      <c r="J84" s="25"/>
      <c r="L84" s="32">
        <v>18</v>
      </c>
      <c r="M84" s="18">
        <v>828</v>
      </c>
      <c r="N84" s="34"/>
      <c r="AA84" s="12"/>
      <c r="AB84" s="12"/>
      <c r="AC84" s="12"/>
      <c r="AD84" s="12"/>
      <c r="AE84" s="12"/>
      <c r="AF84" s="12"/>
      <c r="AG84" s="12"/>
      <c r="AH84" s="12"/>
    </row>
    <row r="85" spans="1:34" ht="13.5">
      <c r="A85" s="43"/>
      <c r="B85" s="44"/>
      <c r="C85" s="40" t="s">
        <v>144</v>
      </c>
      <c r="D85" s="37" t="s">
        <v>419</v>
      </c>
      <c r="E85" s="45"/>
      <c r="K85" s="46"/>
      <c r="L85" s="47">
        <v>2</v>
      </c>
      <c r="M85" s="48">
        <v>1495.92</v>
      </c>
      <c r="N85" s="49"/>
      <c r="AA85" s="12"/>
      <c r="AB85" s="12"/>
      <c r="AC85" s="12"/>
      <c r="AD85" s="12"/>
      <c r="AE85" s="12"/>
      <c r="AF85" s="12"/>
      <c r="AG85" s="12"/>
      <c r="AH85" s="12"/>
    </row>
    <row r="86" spans="1:34" ht="13.5">
      <c r="A86" s="43"/>
      <c r="B86" s="44"/>
      <c r="C86" s="40" t="s">
        <v>421</v>
      </c>
      <c r="D86" s="37" t="s">
        <v>419</v>
      </c>
      <c r="E86" s="45"/>
      <c r="K86" s="46"/>
      <c r="L86" s="47">
        <v>24</v>
      </c>
      <c r="M86" s="48">
        <v>512.19</v>
      </c>
      <c r="N86" s="49"/>
      <c r="AA86" s="12"/>
      <c r="AB86" s="12"/>
      <c r="AC86" s="12"/>
      <c r="AD86" s="12"/>
      <c r="AE86" s="12"/>
      <c r="AF86" s="12"/>
      <c r="AG86" s="12"/>
      <c r="AH86" s="12"/>
    </row>
    <row r="87" spans="1:34" ht="13.5">
      <c r="A87" s="43"/>
      <c r="B87" s="44"/>
      <c r="C87" s="37" t="s">
        <v>86</v>
      </c>
      <c r="D87" s="18" t="s">
        <v>398</v>
      </c>
      <c r="E87" s="43"/>
      <c r="F87" s="25"/>
      <c r="G87" s="25"/>
      <c r="H87" s="25"/>
      <c r="I87" s="25"/>
      <c r="L87" s="32">
        <v>25</v>
      </c>
      <c r="M87" s="33">
        <v>691.25</v>
      </c>
      <c r="N87" s="34"/>
      <c r="AA87" s="12"/>
      <c r="AB87" s="12"/>
      <c r="AC87" s="12"/>
      <c r="AD87" s="12"/>
      <c r="AE87" s="12"/>
      <c r="AF87" s="12"/>
      <c r="AG87" s="12"/>
      <c r="AH87" s="12"/>
    </row>
    <row r="88" spans="1:34" ht="13.5">
      <c r="A88" s="43"/>
      <c r="B88" s="44"/>
      <c r="C88" s="40" t="s">
        <v>47</v>
      </c>
      <c r="D88" s="18" t="s">
        <v>419</v>
      </c>
      <c r="E88" s="43"/>
      <c r="K88" s="25"/>
      <c r="L88" s="32">
        <v>32</v>
      </c>
      <c r="M88" s="33">
        <v>436.31</v>
      </c>
      <c r="N88" s="34"/>
      <c r="AA88" s="12"/>
      <c r="AB88" s="12"/>
      <c r="AC88" s="12"/>
      <c r="AD88" s="12"/>
      <c r="AE88" s="12"/>
      <c r="AF88" s="12"/>
      <c r="AG88" s="12"/>
      <c r="AH88" s="12"/>
    </row>
    <row r="89" spans="1:34" ht="13.5">
      <c r="A89" s="43"/>
      <c r="B89" s="44"/>
      <c r="C89" s="37" t="s">
        <v>63</v>
      </c>
      <c r="D89" s="18" t="s">
        <v>237</v>
      </c>
      <c r="E89" s="43"/>
      <c r="F89" s="25"/>
      <c r="G89" s="25"/>
      <c r="H89" s="25"/>
      <c r="I89" s="25"/>
      <c r="L89" s="32">
        <v>21</v>
      </c>
      <c r="M89" s="18">
        <v>660</v>
      </c>
      <c r="N89" s="34"/>
      <c r="AA89" s="12"/>
      <c r="AB89" s="12"/>
      <c r="AC89" s="12"/>
      <c r="AD89" s="12"/>
      <c r="AE89" s="12"/>
      <c r="AF89" s="12"/>
      <c r="AG89" s="12"/>
      <c r="AH89" s="12"/>
    </row>
    <row r="90" spans="1:34" ht="13.5">
      <c r="A90" s="43"/>
      <c r="B90" s="44"/>
      <c r="C90" s="37" t="s">
        <v>63</v>
      </c>
      <c r="D90" s="18" t="s">
        <v>361</v>
      </c>
      <c r="E90" s="43"/>
      <c r="F90" s="25"/>
      <c r="G90" s="25"/>
      <c r="H90" s="25"/>
      <c r="I90" s="25"/>
      <c r="L90" s="32">
        <v>41</v>
      </c>
      <c r="M90" s="18">
        <v>256</v>
      </c>
      <c r="N90" s="34"/>
      <c r="AA90" s="12"/>
      <c r="AB90" s="12"/>
      <c r="AC90" s="12"/>
      <c r="AD90" s="12"/>
      <c r="AE90" s="12"/>
      <c r="AF90" s="12"/>
      <c r="AG90" s="12"/>
      <c r="AH90" s="12"/>
    </row>
    <row r="91" spans="1:34" ht="13.5">
      <c r="A91" s="43"/>
      <c r="B91" s="44"/>
      <c r="C91" s="37" t="s">
        <v>63</v>
      </c>
      <c r="D91" s="18" t="s">
        <v>372</v>
      </c>
      <c r="E91" s="43"/>
      <c r="F91" s="25"/>
      <c r="G91" s="25"/>
      <c r="H91" s="25"/>
      <c r="I91" s="25"/>
      <c r="J91" s="25"/>
      <c r="L91" s="32">
        <v>16</v>
      </c>
      <c r="M91" s="18">
        <v>1200</v>
      </c>
      <c r="N91" s="34"/>
      <c r="AA91" s="12"/>
      <c r="AB91" s="12"/>
      <c r="AC91" s="12"/>
      <c r="AD91" s="12"/>
      <c r="AE91" s="12"/>
      <c r="AF91" s="12"/>
      <c r="AG91" s="12"/>
      <c r="AH91" s="12"/>
    </row>
    <row r="92" spans="1:34" ht="13.5">
      <c r="A92" s="43"/>
      <c r="B92" s="44"/>
      <c r="C92" s="37" t="s">
        <v>63</v>
      </c>
      <c r="D92" s="18" t="s">
        <v>398</v>
      </c>
      <c r="E92" s="43"/>
      <c r="F92" s="25"/>
      <c r="G92" s="25"/>
      <c r="H92" s="25"/>
      <c r="I92" s="25"/>
      <c r="L92" s="32">
        <v>20</v>
      </c>
      <c r="M92" s="33">
        <v>793.95</v>
      </c>
      <c r="N92" s="34"/>
      <c r="AA92" s="12"/>
      <c r="AB92" s="12"/>
      <c r="AC92" s="12"/>
      <c r="AD92" s="12"/>
      <c r="AE92" s="12"/>
      <c r="AF92" s="12"/>
      <c r="AG92" s="12"/>
      <c r="AH92" s="12"/>
    </row>
    <row r="93" spans="1:34" ht="13.5">
      <c r="A93" s="43"/>
      <c r="B93" s="44"/>
      <c r="C93" s="40" t="s">
        <v>63</v>
      </c>
      <c r="D93" s="37" t="s">
        <v>419</v>
      </c>
      <c r="E93" s="45"/>
      <c r="K93" s="46"/>
      <c r="L93" s="47">
        <v>18</v>
      </c>
      <c r="M93" s="48">
        <v>560.97</v>
      </c>
      <c r="N93" s="49"/>
      <c r="AA93" s="12"/>
      <c r="AB93" s="12"/>
      <c r="AC93" s="12"/>
      <c r="AD93" s="12"/>
      <c r="AE93" s="12"/>
      <c r="AF93" s="12"/>
      <c r="AG93" s="12"/>
      <c r="AH93" s="12"/>
    </row>
    <row r="94" spans="1:34" ht="13.5">
      <c r="A94" s="43"/>
      <c r="B94" s="44"/>
      <c r="C94" s="40" t="s">
        <v>420</v>
      </c>
      <c r="D94" s="37" t="s">
        <v>419</v>
      </c>
      <c r="E94" s="45"/>
      <c r="K94" s="46"/>
      <c r="L94" s="47">
        <v>30</v>
      </c>
      <c r="M94" s="48">
        <v>447.15</v>
      </c>
      <c r="N94" s="49"/>
      <c r="AA94" s="12"/>
      <c r="AB94" s="12"/>
      <c r="AC94" s="12"/>
      <c r="AD94" s="12"/>
      <c r="AE94" s="12"/>
      <c r="AF94" s="12"/>
      <c r="AG94" s="12"/>
      <c r="AH94" s="12"/>
    </row>
    <row r="95" spans="1:34" ht="13.5">
      <c r="A95" s="43"/>
      <c r="B95" s="44"/>
      <c r="C95" s="37" t="s">
        <v>399</v>
      </c>
      <c r="D95" s="18" t="s">
        <v>398</v>
      </c>
      <c r="E95" s="43"/>
      <c r="F95" s="25"/>
      <c r="G95" s="25"/>
      <c r="H95" s="25"/>
      <c r="I95" s="25"/>
      <c r="L95" s="32">
        <v>28</v>
      </c>
      <c r="M95" s="33">
        <v>667.55</v>
      </c>
      <c r="N95" s="34"/>
      <c r="AA95" s="12"/>
      <c r="AB95" s="12"/>
      <c r="AC95" s="12"/>
      <c r="AD95" s="12"/>
      <c r="AE95" s="12"/>
      <c r="AF95" s="12"/>
      <c r="AG95" s="12"/>
      <c r="AH95" s="12"/>
    </row>
    <row r="96" spans="1:34" ht="13.5">
      <c r="A96" s="43"/>
      <c r="B96" s="44"/>
      <c r="C96" s="40" t="s">
        <v>399</v>
      </c>
      <c r="D96" s="37" t="s">
        <v>419</v>
      </c>
      <c r="E96" s="45"/>
      <c r="K96" s="46"/>
      <c r="L96" s="47">
        <v>20</v>
      </c>
      <c r="M96" s="48">
        <v>544.71</v>
      </c>
      <c r="N96" s="49"/>
      <c r="AA96" s="12"/>
      <c r="AB96" s="12"/>
      <c r="AC96" s="12"/>
      <c r="AD96" s="12"/>
      <c r="AE96" s="12"/>
      <c r="AF96" s="12"/>
      <c r="AG96" s="12"/>
      <c r="AH96" s="12"/>
    </row>
    <row r="97" spans="1:34" ht="13.5">
      <c r="A97" s="43"/>
      <c r="B97" s="44"/>
      <c r="C97" s="37" t="s">
        <v>84</v>
      </c>
      <c r="D97" s="18" t="s">
        <v>237</v>
      </c>
      <c r="E97" s="43"/>
      <c r="F97" s="25"/>
      <c r="G97" s="25"/>
      <c r="H97" s="25"/>
      <c r="I97" s="25"/>
      <c r="L97" s="32">
        <v>11</v>
      </c>
      <c r="M97" s="18">
        <v>1050</v>
      </c>
      <c r="N97" s="34"/>
      <c r="AA97" s="12"/>
      <c r="AB97" s="12"/>
      <c r="AC97" s="12"/>
      <c r="AD97" s="12"/>
      <c r="AE97" s="12"/>
      <c r="AF97" s="12"/>
      <c r="AG97" s="12"/>
      <c r="AH97" s="12"/>
    </row>
    <row r="98" spans="1:34" ht="13.5">
      <c r="A98" s="43"/>
      <c r="B98" s="44"/>
      <c r="C98" s="37" t="s">
        <v>84</v>
      </c>
      <c r="D98" s="18" t="s">
        <v>361</v>
      </c>
      <c r="E98" s="43"/>
      <c r="F98" s="25"/>
      <c r="G98" s="25"/>
      <c r="H98" s="25"/>
      <c r="I98" s="25"/>
      <c r="L98" s="32">
        <v>36</v>
      </c>
      <c r="M98" s="18">
        <v>296</v>
      </c>
      <c r="N98" s="34"/>
      <c r="AA98" s="12"/>
      <c r="AB98" s="12"/>
      <c r="AC98" s="12"/>
      <c r="AD98" s="12"/>
      <c r="AE98" s="12"/>
      <c r="AF98" s="12"/>
      <c r="AG98" s="12"/>
      <c r="AH98" s="12"/>
    </row>
    <row r="99" spans="1:34" ht="13.5">
      <c r="A99" s="43"/>
      <c r="B99" s="44"/>
      <c r="C99" s="37" t="s">
        <v>84</v>
      </c>
      <c r="D99" s="18" t="s">
        <v>372</v>
      </c>
      <c r="E99" s="43"/>
      <c r="F99" s="25"/>
      <c r="G99" s="25"/>
      <c r="H99" s="25"/>
      <c r="I99" s="25"/>
      <c r="J99" s="25"/>
      <c r="L99" s="32">
        <v>19</v>
      </c>
      <c r="M99" s="18">
        <v>816</v>
      </c>
      <c r="N99" s="34"/>
      <c r="AA99" s="12"/>
      <c r="AB99" s="12"/>
      <c r="AC99" s="12"/>
      <c r="AD99" s="12"/>
      <c r="AE99" s="12"/>
      <c r="AF99" s="12"/>
      <c r="AG99" s="12"/>
      <c r="AH99" s="12"/>
    </row>
    <row r="100" spans="1:34" ht="13.5">
      <c r="A100" s="43"/>
      <c r="B100" s="44"/>
      <c r="C100" s="37" t="s">
        <v>84</v>
      </c>
      <c r="D100" s="18" t="s">
        <v>398</v>
      </c>
      <c r="E100" s="43"/>
      <c r="F100" s="25"/>
      <c r="G100" s="25"/>
      <c r="H100" s="25"/>
      <c r="I100" s="25"/>
      <c r="L100" s="32">
        <v>7</v>
      </c>
      <c r="M100" s="33">
        <v>1635.3</v>
      </c>
      <c r="N100" s="34"/>
      <c r="AA100" s="12"/>
      <c r="AB100" s="12"/>
      <c r="AC100" s="12"/>
      <c r="AD100" s="12"/>
      <c r="AE100" s="12"/>
      <c r="AF100" s="12"/>
      <c r="AG100" s="12"/>
      <c r="AH100" s="12"/>
    </row>
    <row r="101" spans="1:34" ht="13.5">
      <c r="A101" s="43"/>
      <c r="B101" s="44"/>
      <c r="C101" s="37" t="s">
        <v>84</v>
      </c>
      <c r="D101" s="18" t="s">
        <v>408</v>
      </c>
      <c r="E101" s="43"/>
      <c r="F101" s="25"/>
      <c r="G101" s="25"/>
      <c r="H101" s="25"/>
      <c r="I101" s="25"/>
      <c r="J101" s="25"/>
      <c r="L101" s="32">
        <v>35</v>
      </c>
      <c r="M101" s="18">
        <v>304</v>
      </c>
      <c r="N101" s="34"/>
      <c r="AA101" s="12"/>
      <c r="AB101" s="12"/>
      <c r="AC101" s="12"/>
      <c r="AD101" s="12"/>
      <c r="AE101" s="12"/>
      <c r="AF101" s="12"/>
      <c r="AG101" s="12"/>
      <c r="AH101" s="12"/>
    </row>
    <row r="102" spans="1:34" ht="13.5">
      <c r="A102" s="43"/>
      <c r="B102" s="44"/>
      <c r="C102" s="40" t="s">
        <v>84</v>
      </c>
      <c r="D102" s="37" t="s">
        <v>419</v>
      </c>
      <c r="E102" s="45"/>
      <c r="K102" s="46"/>
      <c r="L102" s="47">
        <v>11</v>
      </c>
      <c r="M102" s="48">
        <v>853.65</v>
      </c>
      <c r="N102" s="49"/>
      <c r="AA102" s="12"/>
      <c r="AB102" s="12"/>
      <c r="AC102" s="12"/>
      <c r="AD102" s="12"/>
      <c r="AE102" s="12"/>
      <c r="AF102" s="12"/>
      <c r="AG102" s="12"/>
      <c r="AH102" s="12"/>
    </row>
    <row r="103" spans="27:34" ht="13.5">
      <c r="AA103" s="12"/>
      <c r="AB103" s="12"/>
      <c r="AC103" s="12"/>
      <c r="AD103" s="12"/>
      <c r="AE103" s="12"/>
      <c r="AF103" s="12"/>
      <c r="AG103" s="12"/>
      <c r="AH103" s="12"/>
    </row>
    <row r="104" spans="27:34" ht="13.5">
      <c r="AA104" s="12"/>
      <c r="AB104" s="12"/>
      <c r="AC104" s="12"/>
      <c r="AD104" s="12"/>
      <c r="AE104" s="12"/>
      <c r="AF104" s="12"/>
      <c r="AG104" s="12"/>
      <c r="AH104" s="12"/>
    </row>
    <row r="105" spans="27:34" ht="13.5">
      <c r="AA105" s="12"/>
      <c r="AB105" s="12"/>
      <c r="AC105" s="12"/>
      <c r="AD105" s="12"/>
      <c r="AE105" s="12"/>
      <c r="AF105" s="12"/>
      <c r="AG105" s="12"/>
      <c r="AH105" s="12"/>
    </row>
    <row r="106" spans="27:34" ht="13.5">
      <c r="AA106" s="12"/>
      <c r="AB106" s="12"/>
      <c r="AC106" s="12"/>
      <c r="AD106" s="12"/>
      <c r="AE106" s="12"/>
      <c r="AF106" s="12"/>
      <c r="AG106" s="12"/>
      <c r="AH106" s="12"/>
    </row>
    <row r="107" spans="27:34" ht="13.5">
      <c r="AA107" s="12"/>
      <c r="AB107" s="12"/>
      <c r="AC107" s="12"/>
      <c r="AD107" s="12"/>
      <c r="AE107" s="12"/>
      <c r="AF107" s="12"/>
      <c r="AG107" s="12"/>
      <c r="AH107" s="12"/>
    </row>
    <row r="108" spans="27:34" ht="13.5">
      <c r="AA108" s="12"/>
      <c r="AB108" s="12"/>
      <c r="AC108" s="12"/>
      <c r="AD108" s="12"/>
      <c r="AE108" s="12"/>
      <c r="AF108" s="12"/>
      <c r="AG108" s="12"/>
      <c r="AH108" s="12"/>
    </row>
    <row r="109" spans="27:34" ht="13.5">
      <c r="AA109" s="12"/>
      <c r="AB109" s="12"/>
      <c r="AC109" s="12"/>
      <c r="AD109" s="12"/>
      <c r="AE109" s="12"/>
      <c r="AF109" s="12"/>
      <c r="AG109" s="12"/>
      <c r="AH109" s="12"/>
    </row>
  </sheetData>
  <printOptions horizontalCentered="1"/>
  <pageMargins left="0.25" right="0.25" top="0.95" bottom="0.95" header="0.25" footer="0.25"/>
  <pageSetup horizontalDpi="300" verticalDpi="300" orientation="landscape" r:id="rId1"/>
  <headerFooter alignWithMargins="0">
    <oddHeader>&amp;C&amp;"Times New Roman,Bold"&amp;16 2001-2002 USFA Point Standings
Senior &amp;A - Rolling Standings</oddHeader>
    <oddFooter>&amp;L&amp;"Arial,Bold"* Permanent Resident
# Junior&amp;"Arial,Regular"
Total = Best 3 plus Group II&amp;CPage &amp;P&amp;R&amp;"Arial,Bold"np = Did not earn points (including not competing)&amp;"Arial,Regular"
Printed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L. Sapery</dc:creator>
  <cp:keywords/>
  <dc:description/>
  <cp:lastModifiedBy>David Sapery</cp:lastModifiedBy>
  <cp:lastPrinted>2002-05-27T01:57:51Z</cp:lastPrinted>
  <dcterms:created xsi:type="dcterms:W3CDTF">1998-12-05T11:59:09Z</dcterms:created>
  <dcterms:modified xsi:type="dcterms:W3CDTF">2002-07-12T14:18:26Z</dcterms:modified>
  <cp:category/>
  <cp:version/>
  <cp:contentType/>
  <cp:contentStatus/>
</cp:coreProperties>
</file>